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showInkAnnotation="0" codeName="ThisWorkbook" defaultThemeVersion="124226"/>
  <mc:AlternateContent xmlns:mc="http://schemas.openxmlformats.org/markup-compatibility/2006">
    <mc:Choice Requires="x15">
      <x15ac:absPath xmlns:x15ac="http://schemas.microsoft.com/office/spreadsheetml/2010/11/ac" url="G:\4% Non-Competitive Projects\2025\2025 E-Apps\Round 2\"/>
    </mc:Choice>
  </mc:AlternateContent>
  <xr:revisionPtr revIDLastSave="0" documentId="8_{FB895A06-3706-45E3-AF5D-D847CA1EE202}" xr6:coauthVersionLast="47" xr6:coauthVersionMax="47" xr10:uidLastSave="{00000000-0000-0000-0000-000000000000}"/>
  <bookViews>
    <workbookView xWindow="-120" yWindow="-120" windowWidth="25440" windowHeight="15390" tabRatio="776" firstSheet="2" activeTab="9"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627" i="3" l="1"/>
  <c r="AD199" i="20"/>
  <c r="AM560" i="3"/>
  <c r="AE402" i="3" l="1"/>
  <c r="AM558" i="3"/>
  <c r="H99" i="4"/>
  <c r="C6" i="4" l="1"/>
  <c r="C79" i="4"/>
  <c r="C75" i="4"/>
  <c r="C61" i="4"/>
  <c r="S45" i="4"/>
  <c r="C83" i="4"/>
  <c r="F30" i="4" l="1"/>
  <c r="G30" i="4"/>
  <c r="C49" i="4"/>
  <c r="C53" i="4"/>
  <c r="C47" i="4"/>
  <c r="C40" i="4"/>
  <c r="W846" i="3" l="1"/>
  <c r="AC891" i="3"/>
  <c r="W866" i="3"/>
  <c r="Z816" i="3"/>
  <c r="AG448" i="3"/>
  <c r="AG446" i="3"/>
  <c r="AG443" i="3"/>
  <c r="B199" i="20"/>
  <c r="B150" i="20"/>
  <c r="AA919" i="3"/>
  <c r="AA918" i="3"/>
  <c r="AC889" i="3"/>
  <c r="W854" i="3"/>
  <c r="T775" i="3" l="1"/>
  <c r="T773" i="3"/>
  <c r="Q627" i="3"/>
  <c r="BE103" i="3" l="1"/>
  <c r="AC216" i="23"/>
  <c r="Y216" i="23"/>
  <c r="U216" i="23"/>
  <c r="BQ102" i="23"/>
  <c r="BQ101" i="23"/>
  <c r="N11" i="23"/>
  <c r="W879" i="3"/>
  <c r="W855" i="3"/>
  <c r="W847"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O49" i="21" s="1"/>
  <c r="N49" i="21"/>
  <c r="L50" i="21"/>
  <c r="M50" i="21"/>
  <c r="T50" i="21" s="1"/>
  <c r="N50" i="21"/>
  <c r="L51" i="21"/>
  <c r="M51" i="21"/>
  <c r="U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c r="P50" i="21" l="1" a="1"/>
  <c r="P50" i="21" s="1"/>
  <c r="T51" i="21"/>
  <c r="R47" i="21" a="1"/>
  <c r="R47" i="21" s="1"/>
  <c r="T48" i="21"/>
  <c r="S48" i="21"/>
  <c r="P48" i="21" a="1"/>
  <c r="P48" i="21" s="1"/>
  <c r="P52" i="21" a="1"/>
  <c r="P52" i="21" s="1"/>
  <c r="S46" i="21"/>
  <c r="U48" i="21"/>
  <c r="S49" i="21"/>
  <c r="U47" i="21"/>
  <c r="T47" i="21"/>
  <c r="S47" i="21"/>
  <c r="U46" i="21"/>
  <c r="T45" i="21"/>
  <c r="U45" i="21"/>
  <c r="S52" i="21"/>
  <c r="S45" i="21"/>
  <c r="R51" i="21" a="1"/>
  <c r="R51" i="21" s="1"/>
  <c r="O51" i="21"/>
  <c r="P51" i="21" a="1"/>
  <c r="P51" i="21" s="1"/>
  <c r="U50" i="21"/>
  <c r="S50" i="21"/>
  <c r="T49" i="21"/>
  <c r="S51" i="21"/>
  <c r="R48" i="21" a="1"/>
  <c r="R48" i="21" s="1"/>
  <c r="T53" i="21"/>
  <c r="O50" i="21"/>
  <c r="R53" i="21" a="1"/>
  <c r="R53" i="21" s="1"/>
  <c r="U53" i="21"/>
  <c r="U49" i="21"/>
  <c r="R49" i="21" a="1"/>
  <c r="R49" i="21" s="1"/>
  <c r="T46" i="21"/>
  <c r="P49" i="21" a="1"/>
  <c r="P49" i="21" s="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AJ711"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I4" i="8"/>
  <c r="J4" i="8" s="1"/>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4" i="3"/>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AP95"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E26" i="13" s="1"/>
  <c r="C26" i="4"/>
  <c r="G72" i="21"/>
  <c r="G78" i="21" s="1"/>
  <c r="G109" i="21"/>
  <c r="M20" i="21"/>
  <c r="M21" i="21"/>
  <c r="M22" i="21"/>
  <c r="M23" i="21"/>
  <c r="M24" i="21"/>
  <c r="M25" i="21"/>
  <c r="M26" i="21"/>
  <c r="M27" i="21"/>
  <c r="M28" i="21"/>
  <c r="M29" i="21"/>
  <c r="M30" i="21"/>
  <c r="M31" i="21"/>
  <c r="O31" i="21" s="1"/>
  <c r="M32" i="21"/>
  <c r="O32" i="21" s="1"/>
  <c r="M33" i="21"/>
  <c r="M34" i="21"/>
  <c r="M35" i="21"/>
  <c r="M36" i="21"/>
  <c r="M37" i="21"/>
  <c r="M38" i="21"/>
  <c r="M39" i="21"/>
  <c r="M40" i="21"/>
  <c r="M41" i="21"/>
  <c r="M42" i="21"/>
  <c r="M43" i="2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S36" i="4" s="1"/>
  <c r="E36" i="13" s="1"/>
  <c r="B36" i="4"/>
  <c r="B66" i="4"/>
  <c r="B67" i="4"/>
  <c r="E67" i="4" s="1"/>
  <c r="R67" i="4" s="1"/>
  <c r="S67" i="4" s="1"/>
  <c r="B68" i="4"/>
  <c r="B69" i="4"/>
  <c r="E69" i="4" s="1"/>
  <c r="R69" i="4" s="1"/>
  <c r="R66"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8" i="13"/>
  <c r="E69" i="13"/>
  <c r="B66" i="13"/>
  <c r="B67" i="13"/>
  <c r="B68" i="13"/>
  <c r="B69" i="13"/>
  <c r="A53" i="13"/>
  <c r="H36" i="13"/>
  <c r="B36" i="13"/>
  <c r="H24" i="13"/>
  <c r="E24" i="13"/>
  <c r="B24" i="13"/>
  <c r="C104" i="4"/>
  <c r="B104" i="13" s="1"/>
  <c r="B99" i="4"/>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X726" i="3"/>
  <c r="AH726" i="3" s="1"/>
  <c r="X727" i="3"/>
  <c r="AH727" i="3" s="1"/>
  <c r="X725" i="3"/>
  <c r="AH725" i="3" s="1"/>
  <c r="X728" i="3"/>
  <c r="AH728" i="3" s="1"/>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R91" i="4"/>
  <c r="R84" i="4"/>
  <c r="B59" i="4"/>
  <c r="C80" i="11"/>
  <c r="C81" i="11"/>
  <c r="B80" i="11"/>
  <c r="B81" i="11"/>
  <c r="I96" i="13"/>
  <c r="J96" i="13"/>
  <c r="J81" i="13"/>
  <c r="I81" i="13"/>
  <c r="G81" i="13"/>
  <c r="F81" i="13"/>
  <c r="D81" i="13"/>
  <c r="C81" i="13"/>
  <c r="H80" i="13"/>
  <c r="B80" i="13"/>
  <c r="D81" i="4"/>
  <c r="F81" i="4"/>
  <c r="G81" i="4"/>
  <c r="H81" i="4"/>
  <c r="I81" i="4"/>
  <c r="J81" i="4"/>
  <c r="K81" i="4"/>
  <c r="L81" i="4"/>
  <c r="M81" i="4"/>
  <c r="N81" i="4"/>
  <c r="O81" i="4"/>
  <c r="P81" i="4"/>
  <c r="Q81" i="4"/>
  <c r="T81" i="4"/>
  <c r="H81" i="13" s="1"/>
  <c r="C81" i="4"/>
  <c r="B81" i="13" s="1"/>
  <c r="B80" i="4"/>
  <c r="E80" i="4" s="1"/>
  <c r="R80" i="4" s="1"/>
  <c r="S80" i="4" s="1"/>
  <c r="E80" i="13" s="1"/>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2" i="13"/>
  <c r="E91" i="13"/>
  <c r="E90" i="13"/>
  <c r="E87" i="13"/>
  <c r="E85" i="13"/>
  <c r="E84" i="13"/>
  <c r="E53" i="13"/>
  <c r="E51" i="13"/>
  <c r="E45" i="13"/>
  <c r="E43"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9" i="4"/>
  <c r="S99" i="4" s="1"/>
  <c r="E99" i="13" s="1"/>
  <c r="R95" i="4"/>
  <c r="S95" i="4" s="1"/>
  <c r="E95" i="13" s="1"/>
  <c r="R92" i="4"/>
  <c r="R90" i="4"/>
  <c r="R87" i="4"/>
  <c r="R85" i="4"/>
  <c r="R76" i="4"/>
  <c r="R72" i="4"/>
  <c r="R73" i="4"/>
  <c r="R74" i="4"/>
  <c r="R60" i="4"/>
  <c r="R59" i="4"/>
  <c r="R58" i="4"/>
  <c r="R57" i="4"/>
  <c r="R56" i="4"/>
  <c r="R51" i="4"/>
  <c r="R37" i="4"/>
  <c r="S37" i="4" s="1"/>
  <c r="E37" i="13" s="1"/>
  <c r="R34" i="4"/>
  <c r="S34" i="4" s="1"/>
  <c r="E34" i="13" s="1"/>
  <c r="R27" i="4"/>
  <c r="R25" i="4"/>
  <c r="R23" i="4"/>
  <c r="R22" i="4"/>
  <c r="R21" i="4"/>
  <c r="R20" i="4"/>
  <c r="R19" i="4"/>
  <c r="R18" i="4"/>
  <c r="R17" i="4"/>
  <c r="R15" i="4"/>
  <c r="R14" i="4"/>
  <c r="R13" i="4"/>
  <c r="R9" i="4"/>
  <c r="R7" i="4"/>
  <c r="R5"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A5" i="8"/>
  <c r="D5" i="8"/>
  <c r="A6" i="8"/>
  <c r="D6" i="8"/>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B26" i="13"/>
  <c r="C38" i="4"/>
  <c r="B38" i="13" s="1"/>
  <c r="C54" i="4"/>
  <c r="C62" i="4"/>
  <c r="B62" i="13" s="1"/>
  <c r="C77" i="4"/>
  <c r="B77" i="13" s="1"/>
  <c r="C96" i="4"/>
  <c r="B96" i="13" s="1"/>
  <c r="D8" i="4"/>
  <c r="D11" i="4"/>
  <c r="D26" i="4"/>
  <c r="D38" i="4"/>
  <c r="D42" i="4"/>
  <c r="D54" i="4"/>
  <c r="D62" i="4"/>
  <c r="D77" i="4"/>
  <c r="D96" i="4"/>
  <c r="D104" i="4"/>
  <c r="F2" i="4"/>
  <c r="G2" i="4"/>
  <c r="H2" i="4"/>
  <c r="I2" i="4"/>
  <c r="J2" i="4"/>
  <c r="K2" i="4"/>
  <c r="L2" i="4"/>
  <c r="M2" i="4"/>
  <c r="N2" i="4"/>
  <c r="O2" i="4"/>
  <c r="P2" i="4"/>
  <c r="Q2" i="4"/>
  <c r="B4" i="4"/>
  <c r="B5" i="4"/>
  <c r="B6" i="4"/>
  <c r="E6" i="4" s="1"/>
  <c r="R6" i="4" s="1"/>
  <c r="B7"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E29" i="4" s="1"/>
  <c r="B30" i="4"/>
  <c r="E30" i="4" s="1"/>
  <c r="R30" i="4" s="1"/>
  <c r="B31" i="4"/>
  <c r="E31" i="4" s="1"/>
  <c r="R31" i="4" s="1"/>
  <c r="B32" i="4"/>
  <c r="E32" i="4" s="1"/>
  <c r="R32" i="4" s="1"/>
  <c r="B33" i="4"/>
  <c r="E33" i="4" s="1"/>
  <c r="R33" i="4" s="1"/>
  <c r="B34" i="4"/>
  <c r="B35" i="4"/>
  <c r="E35" i="4" s="1"/>
  <c r="R35" i="4" s="1"/>
  <c r="B37" i="4"/>
  <c r="G38" i="4"/>
  <c r="H38" i="4"/>
  <c r="K38" i="4"/>
  <c r="L38" i="4"/>
  <c r="O38" i="4"/>
  <c r="P38" i="4"/>
  <c r="P42" i="4"/>
  <c r="P54" i="4"/>
  <c r="P62" i="4"/>
  <c r="P70" i="4"/>
  <c r="P77" i="4"/>
  <c r="P96" i="4"/>
  <c r="P104" i="4"/>
  <c r="Q38" i="4"/>
  <c r="B40" i="4"/>
  <c r="E40" i="4" s="1"/>
  <c r="R40" i="4" s="1"/>
  <c r="S40" i="4" s="1"/>
  <c r="E40" i="13" s="1"/>
  <c r="B41" i="4"/>
  <c r="E41" i="4" s="1"/>
  <c r="R41" i="4" s="1"/>
  <c r="S41" i="4" s="1"/>
  <c r="E41" i="13" s="1"/>
  <c r="G42" i="4"/>
  <c r="H42" i="4"/>
  <c r="K42" i="4"/>
  <c r="L42" i="4"/>
  <c r="O42" i="4"/>
  <c r="Q42" i="4"/>
  <c r="B43" i="4"/>
  <c r="E43" i="4" s="1"/>
  <c r="R43" i="4" s="1"/>
  <c r="B45" i="4"/>
  <c r="E45" i="4" s="1"/>
  <c r="R45" i="4" s="1"/>
  <c r="B46" i="4"/>
  <c r="E46" i="4" s="1"/>
  <c r="R46" i="4" s="1"/>
  <c r="S46" i="4" s="1"/>
  <c r="E46" i="13" s="1"/>
  <c r="B47" i="4"/>
  <c r="E47" i="4" s="1"/>
  <c r="R47" i="4" s="1"/>
  <c r="S47" i="4" s="1"/>
  <c r="E47" i="13" s="1"/>
  <c r="B48" i="4"/>
  <c r="E48" i="4" s="1"/>
  <c r="R48" i="4" s="1"/>
  <c r="S48" i="4" s="1"/>
  <c r="B49" i="4"/>
  <c r="E49" i="4" s="1"/>
  <c r="R49" i="4" s="1"/>
  <c r="S49" i="4" s="1"/>
  <c r="E49" i="13" s="1"/>
  <c r="B50" i="4"/>
  <c r="E50" i="4" s="1"/>
  <c r="R50" i="4" s="1"/>
  <c r="S50" i="4" s="1"/>
  <c r="E50" i="13" s="1"/>
  <c r="B51" i="4"/>
  <c r="B52" i="4"/>
  <c r="E52" i="4" s="1"/>
  <c r="R52" i="4" s="1"/>
  <c r="S52" i="4" s="1"/>
  <c r="E52" i="13" s="1"/>
  <c r="B53" i="4"/>
  <c r="E53" i="4" s="1"/>
  <c r="R53" i="4" s="1"/>
  <c r="G54" i="4"/>
  <c r="H54" i="4"/>
  <c r="K54" i="4"/>
  <c r="L54" i="4"/>
  <c r="O54" i="4"/>
  <c r="Q54" i="4"/>
  <c r="B56" i="4"/>
  <c r="B57" i="4"/>
  <c r="B58" i="4"/>
  <c r="B60" i="4"/>
  <c r="B61" i="4"/>
  <c r="E61" i="4" s="1"/>
  <c r="E62" i="4" s="1"/>
  <c r="G62" i="4"/>
  <c r="H62" i="4"/>
  <c r="K62" i="4"/>
  <c r="L62" i="4"/>
  <c r="O62" i="4"/>
  <c r="O70" i="4"/>
  <c r="O77" i="4"/>
  <c r="O96" i="4"/>
  <c r="O104" i="4"/>
  <c r="Q62" i="4"/>
  <c r="B65" i="4"/>
  <c r="E65" i="4" s="1"/>
  <c r="R65" i="4" s="1"/>
  <c r="S65" i="4" s="1"/>
  <c r="E65" i="13" s="1"/>
  <c r="F70" i="4"/>
  <c r="G70" i="4"/>
  <c r="H70" i="4"/>
  <c r="I70" i="4"/>
  <c r="K70" i="4"/>
  <c r="L70" i="4"/>
  <c r="Q70" i="4"/>
  <c r="B72" i="4"/>
  <c r="B73" i="4"/>
  <c r="B74" i="4"/>
  <c r="B75" i="4"/>
  <c r="B76" i="4"/>
  <c r="F77" i="4"/>
  <c r="G77" i="4"/>
  <c r="H77" i="4"/>
  <c r="I77" i="4"/>
  <c r="K77" i="4"/>
  <c r="L77" i="4"/>
  <c r="Q77" i="4"/>
  <c r="B79" i="4"/>
  <c r="E79" i="4" s="1"/>
  <c r="R79" i="4" s="1"/>
  <c r="S79" i="4" s="1"/>
  <c r="B83" i="4"/>
  <c r="E83" i="4" s="1"/>
  <c r="B84" i="4"/>
  <c r="B85" i="4"/>
  <c r="B86" i="4"/>
  <c r="E86" i="4" s="1"/>
  <c r="R86" i="4" s="1"/>
  <c r="S86" i="4" s="1"/>
  <c r="E86" i="13" s="1"/>
  <c r="B87" i="4"/>
  <c r="B88" i="4"/>
  <c r="E88" i="4" s="1"/>
  <c r="R88" i="4" s="1"/>
  <c r="B89" i="4"/>
  <c r="E89" i="4" s="1"/>
  <c r="R89" i="4" s="1"/>
  <c r="S89" i="4" s="1"/>
  <c r="E89" i="13" s="1"/>
  <c r="B90" i="4"/>
  <c r="B91" i="4"/>
  <c r="B92" i="4"/>
  <c r="B93" i="4"/>
  <c r="E93" i="4" s="1"/>
  <c r="R93" i="4" s="1"/>
  <c r="S93" i="4" s="1"/>
  <c r="E93" i="13" s="1"/>
  <c r="B94" i="4"/>
  <c r="E94" i="4" s="1"/>
  <c r="R94" i="4" s="1"/>
  <c r="S94" i="4" s="1"/>
  <c r="E94" i="13" s="1"/>
  <c r="B95"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18" i="3"/>
  <c r="AH718" i="3" s="1"/>
  <c r="X719" i="3"/>
  <c r="AH719" i="3" s="1"/>
  <c r="X720" i="3"/>
  <c r="X721" i="3"/>
  <c r="X722" i="3"/>
  <c r="AH722" i="3" s="1"/>
  <c r="X723" i="3"/>
  <c r="AH723" i="3" s="1"/>
  <c r="X724" i="3"/>
  <c r="AH724" i="3" s="1"/>
  <c r="X730" i="3"/>
  <c r="X731" i="3"/>
  <c r="X732" i="3"/>
  <c r="X733" i="3"/>
  <c r="X734" i="3"/>
  <c r="X735" i="3"/>
  <c r="X736" i="3"/>
  <c r="X737" i="3"/>
  <c r="X738" i="3"/>
  <c r="X739" i="3"/>
  <c r="X740" i="3"/>
  <c r="X741" i="3"/>
  <c r="M832" i="3"/>
  <c r="Q832" i="3"/>
  <c r="U832" i="3"/>
  <c r="Y832" i="3"/>
  <c r="AC832" i="3"/>
  <c r="AG832" i="3"/>
  <c r="Z902" i="3"/>
  <c r="S35" i="4" l="1"/>
  <c r="E35" i="13" s="1"/>
  <c r="S32" i="4"/>
  <c r="E32" i="13" s="1"/>
  <c r="S33" i="4"/>
  <c r="E33" i="13" s="1"/>
  <c r="S31" i="4"/>
  <c r="E31" i="13" s="1"/>
  <c r="S30" i="4"/>
  <c r="E30" i="13" s="1"/>
  <c r="E38" i="4"/>
  <c r="E70" i="4"/>
  <c r="E96" i="4"/>
  <c r="S81" i="4"/>
  <c r="E81" i="13" s="1"/>
  <c r="S104" i="4"/>
  <c r="BA1058" i="3" s="1"/>
  <c r="R61" i="4"/>
  <c r="R62" i="4" s="1"/>
  <c r="S96" i="4"/>
  <c r="E96" i="13" s="1"/>
  <c r="E48" i="13"/>
  <c r="S54" i="4"/>
  <c r="E54" i="13" s="1"/>
  <c r="S70" i="4"/>
  <c r="E70" i="13" s="1"/>
  <c r="E67" i="13"/>
  <c r="E54" i="4"/>
  <c r="E79" i="13"/>
  <c r="E75" i="4"/>
  <c r="AC886" i="3"/>
  <c r="S42" i="4"/>
  <c r="E42" i="13" s="1"/>
  <c r="E42" i="4"/>
  <c r="BE23" i="3"/>
  <c r="E4" i="4"/>
  <c r="R29" i="4"/>
  <c r="S29" i="4" s="1"/>
  <c r="E81" i="4"/>
  <c r="R83" i="4"/>
  <c r="R96" i="4" s="1"/>
  <c r="B26" i="4"/>
  <c r="D35" i="11"/>
  <c r="D94" i="11"/>
  <c r="D36" i="1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D12" i="4"/>
  <c r="C43" i="11"/>
  <c r="F12" i="4"/>
  <c r="D11" i="11"/>
  <c r="C63" i="11"/>
  <c r="B55" i="11"/>
  <c r="F63" i="13"/>
  <c r="F97" i="13" s="1"/>
  <c r="F105" i="13" s="1"/>
  <c r="F107" i="13" s="1"/>
  <c r="D24" i="11"/>
  <c r="B39" i="11"/>
  <c r="B71" i="11"/>
  <c r="B105" i="11"/>
  <c r="O12" i="4"/>
  <c r="D10" i="11"/>
  <c r="B43" i="11"/>
  <c r="Q12" i="4"/>
  <c r="K12" i="4"/>
  <c r="D61" i="11"/>
  <c r="D57" i="11"/>
  <c r="B9" i="11"/>
  <c r="J12" i="4"/>
  <c r="B54" i="4"/>
  <c r="D30" i="11"/>
  <c r="D22" i="11"/>
  <c r="D80" i="11"/>
  <c r="D31" i="11"/>
  <c r="B62" i="4"/>
  <c r="O63" i="4"/>
  <c r="O97" i="4" s="1"/>
  <c r="O105" i="4" s="1"/>
  <c r="M63" i="4"/>
  <c r="M97" i="4" s="1"/>
  <c r="M105" i="4" s="1"/>
  <c r="N12" i="4"/>
  <c r="I12" i="4"/>
  <c r="B70" i="4"/>
  <c r="D102" i="11"/>
  <c r="P63" i="4"/>
  <c r="P97" i="4" s="1"/>
  <c r="P105" i="4" s="1"/>
  <c r="F63" i="4"/>
  <c r="F97" i="4" s="1"/>
  <c r="F105" i="4" s="1"/>
  <c r="I63" i="13"/>
  <c r="I97" i="13" s="1"/>
  <c r="I105" i="13" s="1"/>
  <c r="I107" i="13" s="1"/>
  <c r="C63" i="13"/>
  <c r="C97" i="13" s="1"/>
  <c r="C105" i="13" s="1"/>
  <c r="C71" i="11"/>
  <c r="R70" i="4"/>
  <c r="B81" i="4"/>
  <c r="R1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R104" i="4"/>
  <c r="B77" i="4"/>
  <c r="C78" i="11"/>
  <c r="D60" i="11"/>
  <c r="M12" i="4"/>
  <c r="D63" i="4"/>
  <c r="D97" i="4" s="1"/>
  <c r="D105" i="4" s="1"/>
  <c r="BE68" i="3" s="1"/>
  <c r="R26" i="4"/>
  <c r="R42" i="4"/>
  <c r="R54" i="4"/>
  <c r="D63" i="13"/>
  <c r="D97" i="13" s="1"/>
  <c r="D105" i="13" s="1"/>
  <c r="B97" i="11"/>
  <c r="C55" i="11"/>
  <c r="D23" i="11"/>
  <c r="D19" i="11"/>
  <c r="D14" i="11"/>
  <c r="D7" i="11"/>
  <c r="G63" i="13"/>
  <c r="G97" i="13" s="1"/>
  <c r="G105" i="13" s="1"/>
  <c r="G107" i="13" s="1"/>
  <c r="R81" i="4"/>
  <c r="M53" i="7"/>
  <c r="K58" i="7"/>
  <c r="N188" i="23"/>
  <c r="C27" i="11"/>
  <c r="AB48" i="15"/>
  <c r="D46" i="11"/>
  <c r="B82" i="11"/>
  <c r="H63" i="4"/>
  <c r="H97" i="4" s="1"/>
  <c r="H105" i="4" s="1"/>
  <c r="G63" i="4"/>
  <c r="G97" i="4" s="1"/>
  <c r="G105" i="4" s="1"/>
  <c r="I58" i="7"/>
  <c r="C9" i="11"/>
  <c r="B63" i="11"/>
  <c r="T63" i="4"/>
  <c r="B96" i="4"/>
  <c r="B38" i="4"/>
  <c r="D84" i="11"/>
  <c r="B54" i="13"/>
  <c r="K63" i="4"/>
  <c r="K97" i="4" s="1"/>
  <c r="K105" i="4" s="1"/>
  <c r="CI753" i="3"/>
  <c r="X1048" i="3" s="1"/>
  <c r="BG243" i="3"/>
  <c r="BO245" i="3" s="1"/>
  <c r="T267" i="3" s="1"/>
  <c r="AH721" i="3"/>
  <c r="J7" i="8"/>
  <c r="J40" i="8" s="1"/>
  <c r="Z809" i="3" s="1"/>
  <c r="U20" i="21"/>
  <c r="U33" i="21"/>
  <c r="U32" i="21"/>
  <c r="S32" i="21"/>
  <c r="U24" i="21"/>
  <c r="U28"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T28" i="21"/>
  <c r="AE40" i="7"/>
  <c r="AE43" i="7" s="1"/>
  <c r="W40" i="7"/>
  <c r="W43" i="7" s="1"/>
  <c r="W29" i="7"/>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W861" i="3" s="1"/>
  <c r="W862" i="3" s="1"/>
  <c r="E18" i="7" s="1"/>
  <c r="G18" i="7" s="1"/>
  <c r="I18" i="7" s="1"/>
  <c r="K18" i="7" s="1"/>
  <c r="M18" i="7" s="1"/>
  <c r="O18" i="7" s="1"/>
  <c r="Q18" i="7" s="1"/>
  <c r="S18" i="7" s="1"/>
  <c r="U18" i="7" s="1"/>
  <c r="W18" i="7" s="1"/>
  <c r="Y18" i="7" s="1"/>
  <c r="AA18" i="7" s="1"/>
  <c r="AC18" i="7" s="1"/>
  <c r="AE18" i="7" s="1"/>
  <c r="AG18" i="7" s="1"/>
  <c r="T41" i="21"/>
  <c r="E105" i="20"/>
  <c r="R23" i="21" a="1"/>
  <c r="R23" i="21" s="1"/>
  <c r="E104" i="20"/>
  <c r="R40" i="21" a="1"/>
  <c r="R40" i="21" s="1"/>
  <c r="R29" i="21" a="1"/>
  <c r="R29" i="21" s="1"/>
  <c r="DZ753" i="3"/>
  <c r="R34" i="21" a="1"/>
  <c r="R34" i="21" s="1"/>
  <c r="CP777" i="3"/>
  <c r="CT778" i="3"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T37" i="21"/>
  <c r="DO753" i="3"/>
  <c r="AX693" i="20" s="1"/>
  <c r="DE753" i="3"/>
  <c r="AX691" i="20" s="1"/>
  <c r="ET797" i="3"/>
  <c r="DJ797" i="3"/>
  <c r="DN798" i="3" s="1"/>
  <c r="EO787" i="3"/>
  <c r="EO797" i="3" s="1"/>
  <c r="EJ797" i="3"/>
  <c r="AC884" i="3"/>
  <c r="DE797" i="3"/>
  <c r="DI798" i="3" s="1"/>
  <c r="CZ753" i="3"/>
  <c r="FJ753" i="3"/>
  <c r="DU790" i="3"/>
  <c r="DU797" i="3" s="1"/>
  <c r="CP797" i="3"/>
  <c r="AV122" i="20"/>
  <c r="AW121" i="20" s="1"/>
  <c r="R36" i="21" a="1"/>
  <c r="R36" i="21" s="1"/>
  <c r="R22" i="21" a="1"/>
  <c r="R22" i="21" s="1"/>
  <c r="T38" i="21"/>
  <c r="T29" i="21"/>
  <c r="T20" i="21"/>
  <c r="R38" i="21" a="1"/>
  <c r="R38" i="21" s="1"/>
  <c r="R20" i="21" a="1"/>
  <c r="R20"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D105" i="11" l="1"/>
  <c r="E104" i="13"/>
  <c r="R38" i="4"/>
  <c r="E29" i="13"/>
  <c r="S38" i="4"/>
  <c r="R75" i="4"/>
  <c r="R77" i="4" s="1"/>
  <c r="E77" i="4"/>
  <c r="R4" i="4"/>
  <c r="R8" i="4" s="1"/>
  <c r="R63" i="4" s="1"/>
  <c r="E8" i="4"/>
  <c r="AC883" i="3"/>
  <c r="AC885" i="3" s="1"/>
  <c r="AJ621" i="20"/>
  <c r="AK794" i="20" s="1"/>
  <c r="T819" i="20" s="1"/>
  <c r="AF819" i="20" s="1"/>
  <c r="BE82" i="3" s="1"/>
  <c r="G94" i="21"/>
  <c r="D43" i="11"/>
  <c r="D71" i="11"/>
  <c r="B12" i="4"/>
  <c r="N195" i="23"/>
  <c r="D55" i="11"/>
  <c r="D82" i="11"/>
  <c r="D39" i="11"/>
  <c r="D78" i="11"/>
  <c r="D12" i="11"/>
  <c r="D63" i="11"/>
  <c r="B13" i="11"/>
  <c r="C64" i="11"/>
  <c r="C98" i="11" s="1"/>
  <c r="B64" i="11"/>
  <c r="B98" i="11" s="1"/>
  <c r="B106" i="11" s="1"/>
  <c r="B63" i="4"/>
  <c r="D27" i="11"/>
  <c r="D97" i="11"/>
  <c r="T97" i="4"/>
  <c r="H63" i="13"/>
  <c r="AO39" i="20"/>
  <c r="AK62" i="20" s="1"/>
  <c r="T804" i="20" s="1"/>
  <c r="AF804" i="20" s="1"/>
  <c r="BE71" i="3" s="1"/>
  <c r="D9" i="11"/>
  <c r="C13" i="11"/>
  <c r="O53" i="7"/>
  <c r="M58" i="7"/>
  <c r="BA1039" i="3"/>
  <c r="BA1048" i="3" s="1" a="1"/>
  <c r="BA1048" i="3" s="1"/>
  <c r="AO42" i="20"/>
  <c r="AS360" i="20"/>
  <c r="G9" i="7"/>
  <c r="C97" i="4"/>
  <c r="C105" i="4" s="1"/>
  <c r="AC455" i="3"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40" i="21" s="1"/>
  <c r="P40" i="21" s="1" a="1"/>
  <c r="P40" i="21" s="1"/>
  <c r="S40"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R12" i="4" l="1"/>
  <c r="R97" i="4"/>
  <c r="R105" i="4" s="1"/>
  <c r="E38" i="13"/>
  <c r="S63" i="4"/>
  <c r="E12" i="4"/>
  <c r="E63" i="4"/>
  <c r="E97" i="4" s="1"/>
  <c r="E105" i="4" s="1"/>
  <c r="O30" i="21"/>
  <c r="O43" i="21"/>
  <c r="P43" i="21" s="1" a="1"/>
  <c r="P43" i="21" s="1"/>
  <c r="S43" i="21" s="1"/>
  <c r="O41" i="21"/>
  <c r="P41" i="21" s="1" a="1"/>
  <c r="P41" i="21" s="1"/>
  <c r="S41" i="21" s="1"/>
  <c r="O42" i="21"/>
  <c r="P42" i="21" s="1" a="1"/>
  <c r="P42" i="21" s="1"/>
  <c r="S42" i="21" s="1"/>
  <c r="O37" i="21"/>
  <c r="P37" i="21" s="1" a="1"/>
  <c r="P37" i="21" s="1"/>
  <c r="S37" i="21" s="1"/>
  <c r="O39" i="21"/>
  <c r="P39" i="21" s="1" a="1"/>
  <c r="P39" i="21" s="1"/>
  <c r="S39" i="21" s="1"/>
  <c r="O38" i="21"/>
  <c r="P38" i="21" s="1" a="1"/>
  <c r="P38" i="21" s="1"/>
  <c r="S38" i="21" s="1"/>
  <c r="O29" i="21"/>
  <c r="P29" i="21" s="1" a="1"/>
  <c r="P29" i="21" s="1"/>
  <c r="S29" i="21" s="1"/>
  <c r="O36" i="21"/>
  <c r="P36" i="21" s="1" a="1"/>
  <c r="P36" i="21" s="1"/>
  <c r="S36" i="21" s="1"/>
  <c r="O35" i="21"/>
  <c r="P35" i="21" s="1" a="1"/>
  <c r="P35" i="21" s="1"/>
  <c r="S35" i="21" s="1"/>
  <c r="O34" i="21"/>
  <c r="P34" i="21" s="1" a="1"/>
  <c r="P34" i="21" s="1"/>
  <c r="S34" i="21" s="1"/>
  <c r="O33" i="21"/>
  <c r="P33" i="21" s="1" a="1"/>
  <c r="P33" i="21" s="1"/>
  <c r="S33" i="21" s="1"/>
  <c r="O27" i="21"/>
  <c r="P27" i="21" s="1" a="1"/>
  <c r="P27" i="21" s="1"/>
  <c r="S27" i="21" s="1"/>
  <c r="O24" i="21"/>
  <c r="P24" i="21" s="1" a="1"/>
  <c r="P24" i="21" s="1"/>
  <c r="S24" i="21" s="1"/>
  <c r="O28" i="21"/>
  <c r="P28" i="21" s="1" a="1"/>
  <c r="P28" i="21" s="1"/>
  <c r="S28" i="21" s="1"/>
  <c r="O25" i="21"/>
  <c r="P25" i="21" s="1" a="1"/>
  <c r="P25" i="21" s="1"/>
  <c r="S25" i="21" s="1"/>
  <c r="O22" i="21"/>
  <c r="P22" i="21" s="1" a="1"/>
  <c r="P22" i="21" s="1"/>
  <c r="S22" i="21" s="1"/>
  <c r="O21" i="21"/>
  <c r="P21" i="21" s="1" a="1"/>
  <c r="P21" i="21" s="1"/>
  <c r="S21" i="21" s="1"/>
  <c r="O26" i="21"/>
  <c r="P26" i="21" s="1" a="1"/>
  <c r="P26" i="21" s="1"/>
  <c r="S26" i="21" s="1"/>
  <c r="O20" i="21"/>
  <c r="P20" i="21" s="1" a="1"/>
  <c r="P20" i="21" s="1"/>
  <c r="S20" i="21" s="1"/>
  <c r="O23" i="21"/>
  <c r="P23" i="21" s="1" a="1"/>
  <c r="P23" i="21" s="1"/>
  <c r="S23" i="21" s="1"/>
  <c r="D64" i="11"/>
  <c r="B105" i="4"/>
  <c r="AB47" i="15" s="1"/>
  <c r="BE101" i="3"/>
  <c r="AK84" i="20"/>
  <c r="AK191" i="20" s="1"/>
  <c r="T811" i="20" s="1"/>
  <c r="AF811" i="20" s="1"/>
  <c r="BE76" i="3" s="1"/>
  <c r="D13" i="11"/>
  <c r="B97" i="13"/>
  <c r="B97" i="4"/>
  <c r="B105" i="13"/>
  <c r="AG269" i="20"/>
  <c r="O58" i="7"/>
  <c r="Q53" i="7"/>
  <c r="T105" i="4"/>
  <c r="H97" i="13"/>
  <c r="P31" i="21" a="1"/>
  <c r="P31" i="21" s="1"/>
  <c r="S31" i="21" s="1"/>
  <c r="P30" i="21" a="1"/>
  <c r="P30" i="21" s="1"/>
  <c r="S30" i="21" s="1"/>
  <c r="DU755" i="3"/>
  <c r="O756" i="3" s="1"/>
  <c r="BG753" i="3"/>
  <c r="BU753" i="3"/>
  <c r="AH753" i="3" s="1"/>
  <c r="BE43" i="3" s="1"/>
  <c r="E35" i="7"/>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E63" i="13" l="1"/>
  <c r="S97" i="4"/>
  <c r="AB266" i="20"/>
  <c r="AG268" i="20" s="1"/>
  <c r="AG270" i="20" s="1"/>
  <c r="AK273" i="20" s="1"/>
  <c r="T812" i="20" s="1"/>
  <c r="AF812" i="20" s="1"/>
  <c r="BE77" i="3" s="1"/>
  <c r="AC454" i="3"/>
  <c r="T805" i="20"/>
  <c r="AF805" i="20" s="1"/>
  <c r="BE72" i="3" s="1"/>
  <c r="N185" i="23"/>
  <c r="BE22" i="3"/>
  <c r="AB49" i="15"/>
  <c r="AB54" i="15" s="1"/>
  <c r="AB55" i="15" s="1"/>
  <c r="H105" i="13"/>
  <c r="T107" i="4"/>
  <c r="H107" i="13" s="1"/>
  <c r="Q58" i="7"/>
  <c r="S53" i="7"/>
  <c r="G45" i="21"/>
  <c r="G47" i="21" s="1"/>
  <c r="E10" i="21" s="1"/>
  <c r="E11" i="21"/>
  <c r="AP705" i="20"/>
  <c r="AP706" i="20"/>
  <c r="I4" i="7"/>
  <c r="I5" i="7" s="1"/>
  <c r="K9" i="7"/>
  <c r="E11" i="7"/>
  <c r="E37" i="7" s="1"/>
  <c r="E49" i="7" s="1"/>
  <c r="AJ992" i="3"/>
  <c r="E138" i="20"/>
  <c r="E139" i="20" s="1"/>
  <c r="AK143" i="20" s="1"/>
  <c r="T807" i="20" s="1"/>
  <c r="AF807" i="20" s="1"/>
  <c r="BE74" i="3" s="1"/>
  <c r="AB991" i="3"/>
  <c r="DU802" i="3"/>
  <c r="U373" i="20" s="1"/>
  <c r="P421" i="3"/>
  <c r="I6" i="7"/>
  <c r="G7" i="7"/>
  <c r="G11" i="7" s="1"/>
  <c r="G37" i="7" s="1"/>
  <c r="M22" i="7"/>
  <c r="M35" i="7" s="1"/>
  <c r="O15" i="7"/>
  <c r="M9" i="7"/>
  <c r="O8" i="7"/>
  <c r="G27" i="21"/>
  <c r="F26" i="21"/>
  <c r="S105" i="4" l="1"/>
  <c r="E97" i="13"/>
  <c r="AZ1046" i="3"/>
  <c r="AD11" i="15"/>
  <c r="AD23" i="15" s="1"/>
  <c r="AD26" i="15" s="1"/>
  <c r="AD28" i="15" s="1"/>
  <c r="AI11" i="15"/>
  <c r="AI23" i="15" s="1"/>
  <c r="AI26" i="15" s="1"/>
  <c r="AI28" i="15" s="1"/>
  <c r="AJ1029" i="3"/>
  <c r="AJ1036" i="3"/>
  <c r="I15" i="21" s="1"/>
  <c r="BE44" i="3"/>
  <c r="F457" i="3"/>
  <c r="N196" i="23"/>
  <c r="N186" i="23"/>
  <c r="S58" i="7"/>
  <c r="U53" i="7"/>
  <c r="AJ1045" i="3"/>
  <c r="AJ1049" i="3"/>
  <c r="AP553" i="20" s="1"/>
  <c r="AP550" i="20"/>
  <c r="K4" i="7"/>
  <c r="M4" i="7" s="1"/>
  <c r="E45" i="7"/>
  <c r="E48" i="7" s="1"/>
  <c r="G45" i="7"/>
  <c r="G49" i="7"/>
  <c r="K6" i="7"/>
  <c r="I7" i="7"/>
  <c r="I11" i="7" s="1"/>
  <c r="I37" i="7" s="1"/>
  <c r="G26" i="21"/>
  <c r="F29" i="21"/>
  <c r="G29" i="21"/>
  <c r="O22" i="7"/>
  <c r="O35" i="7" s="1"/>
  <c r="Q15" i="7"/>
  <c r="O9" i="7"/>
  <c r="Q8" i="7"/>
  <c r="BA1056" i="3" l="1"/>
  <c r="AZ1051" i="3"/>
  <c r="BA1055" i="3" s="1"/>
  <c r="BA1059" i="3" s="1"/>
  <c r="S107" i="4"/>
  <c r="E105" i="13"/>
  <c r="U58" i="7"/>
  <c r="W53" i="7"/>
  <c r="AJ1053" i="3"/>
  <c r="AP552" i="20"/>
  <c r="AP554" i="20" s="1"/>
  <c r="K5" i="7"/>
  <c r="E47" i="7"/>
  <c r="E60" i="7"/>
  <c r="E62" i="7" s="1"/>
  <c r="O4" i="7"/>
  <c r="M5" i="7"/>
  <c r="I45" i="7"/>
  <c r="I49" i="7"/>
  <c r="M6" i="7"/>
  <c r="K7" i="7"/>
  <c r="G60" i="7"/>
  <c r="G47" i="7"/>
  <c r="G48" i="7"/>
  <c r="Q22" i="7"/>
  <c r="Q35" i="7" s="1"/>
  <c r="S15" i="7"/>
  <c r="G79" i="21"/>
  <c r="G31" i="21"/>
  <c r="G33" i="21" s="1"/>
  <c r="E9" i="21" s="1"/>
  <c r="G88" i="21"/>
  <c r="G90" i="21" s="1"/>
  <c r="E16" i="21" s="1"/>
  <c r="G111" i="21"/>
  <c r="G96" i="21"/>
  <c r="Q9" i="7"/>
  <c r="S8" i="7"/>
  <c r="AE699" i="3" l="1"/>
  <c r="AF551" i="20"/>
  <c r="AC456" i="3"/>
  <c r="AA1056" i="3"/>
  <c r="AA1057" i="3" s="1"/>
  <c r="G1058" i="3" s="1"/>
  <c r="E107" i="13"/>
  <c r="G80" i="21"/>
  <c r="E15" i="21" s="1"/>
  <c r="W58" i="7"/>
  <c r="Y53" i="7"/>
  <c r="T24" i="15"/>
  <c r="AP557" i="20"/>
  <c r="AP556" i="20" s="1"/>
  <c r="AP559" i="20" s="1"/>
  <c r="AF552" i="20" s="1"/>
  <c r="AF553" i="20" s="1"/>
  <c r="AK559" i="20" s="1"/>
  <c r="T818" i="20" s="1"/>
  <c r="AF818" i="20" s="1"/>
  <c r="BE81" i="3" s="1"/>
  <c r="K11" i="7"/>
  <c r="K37" i="7" s="1"/>
  <c r="K45" i="7" s="1"/>
  <c r="E66" i="7"/>
  <c r="E67" i="7"/>
  <c r="O5" i="7"/>
  <c r="Q4" i="7"/>
  <c r="M7" i="7"/>
  <c r="M11" i="7" s="1"/>
  <c r="M37" i="7" s="1"/>
  <c r="O6" i="7"/>
  <c r="G67" i="7"/>
  <c r="G62" i="7"/>
  <c r="G66" i="7"/>
  <c r="I48" i="7"/>
  <c r="I60" i="7"/>
  <c r="I47" i="7"/>
  <c r="G101" i="21"/>
  <c r="G113" i="21"/>
  <c r="G97" i="21"/>
  <c r="S22" i="7"/>
  <c r="S35" i="7" s="1"/>
  <c r="U15" i="7"/>
  <c r="U8" i="7"/>
  <c r="S9" i="7"/>
  <c r="Y11" i="15" l="1"/>
  <c r="Y23" i="15" s="1"/>
  <c r="Y26" i="15" s="1"/>
  <c r="Y28" i="15" s="1"/>
  <c r="T11" i="15"/>
  <c r="T23" i="15" s="1"/>
  <c r="T26" i="15" s="1"/>
  <c r="T28" i="15" s="1"/>
  <c r="AA53" i="7"/>
  <c r="Y58" i="7"/>
  <c r="G115" i="21"/>
  <c r="E17" i="21" s="1"/>
  <c r="E14" i="21" s="1"/>
  <c r="E18" i="21" s="1"/>
  <c r="K49" i="7"/>
  <c r="E70" i="7"/>
  <c r="E72" i="7" s="1"/>
  <c r="S4" i="7"/>
  <c r="Q5" i="7"/>
  <c r="G70" i="7"/>
  <c r="G72" i="7" s="1"/>
  <c r="O7" i="7"/>
  <c r="O11" i="7" s="1"/>
  <c r="O37" i="7" s="1"/>
  <c r="Q6" i="7"/>
  <c r="M45" i="7"/>
  <c r="M49" i="7"/>
  <c r="I66" i="7"/>
  <c r="I67" i="7"/>
  <c r="I62" i="7"/>
  <c r="K47" i="7"/>
  <c r="K60" i="7"/>
  <c r="K48" i="7"/>
  <c r="U22" i="7"/>
  <c r="U35" i="7" s="1"/>
  <c r="W15" i="7"/>
  <c r="U9" i="7"/>
  <c r="W8" i="7"/>
  <c r="T29" i="15" l="1"/>
  <c r="Y64" i="15"/>
  <c r="Y68" i="15" s="1"/>
  <c r="Y69" i="15" s="1"/>
  <c r="AD38" i="15"/>
  <c r="AD40" i="15" s="1"/>
  <c r="Y38" i="15"/>
  <c r="Y40" i="15" s="1"/>
  <c r="AC53" i="7"/>
  <c r="AA58" i="7"/>
  <c r="U4" i="7"/>
  <c r="S5" i="7"/>
  <c r="M48" i="7"/>
  <c r="M47" i="7"/>
  <c r="M60" i="7"/>
  <c r="O45" i="7"/>
  <c r="O49" i="7"/>
  <c r="K66" i="7"/>
  <c r="K67" i="7"/>
  <c r="K62" i="7"/>
  <c r="Q7" i="7"/>
  <c r="Q11" i="7" s="1"/>
  <c r="Q37" i="7" s="1"/>
  <c r="S6" i="7"/>
  <c r="I70" i="7"/>
  <c r="I72" i="7" s="1"/>
  <c r="W22" i="7"/>
  <c r="W35" i="7" s="1"/>
  <c r="Y15" i="7"/>
  <c r="W9" i="7"/>
  <c r="Y8" i="7"/>
  <c r="Y41" i="15" l="1"/>
  <c r="AB56" i="15" s="1"/>
  <c r="M26" i="3" s="1"/>
  <c r="BE19" i="3" s="1"/>
  <c r="AE53" i="7"/>
  <c r="AC58" i="7"/>
  <c r="U5" i="7"/>
  <c r="W4" i="7"/>
  <c r="Q49" i="7"/>
  <c r="Q45" i="7"/>
  <c r="M62" i="7"/>
  <c r="M67" i="7"/>
  <c r="M66" i="7"/>
  <c r="O47" i="7"/>
  <c r="O48" i="7"/>
  <c r="O60" i="7"/>
  <c r="K70" i="7"/>
  <c r="K72" i="7" s="1"/>
  <c r="S7" i="7"/>
  <c r="S11" i="7" s="1"/>
  <c r="S37" i="7" s="1"/>
  <c r="U6" i="7"/>
  <c r="Y22" i="7"/>
  <c r="Y35" i="7" s="1"/>
  <c r="AA15" i="7"/>
  <c r="Y9" i="7"/>
  <c r="AA8" i="7"/>
  <c r="P204" i="3" l="1"/>
  <c r="AB57" i="15"/>
  <c r="AB59" i="15" s="1"/>
  <c r="AB77" i="15" s="1"/>
  <c r="AG53" i="7"/>
  <c r="AG58" i="7" s="1"/>
  <c r="AE58" i="7"/>
  <c r="M70" i="7"/>
  <c r="M72" i="7" s="1"/>
  <c r="W5" i="7"/>
  <c r="Y4" i="7"/>
  <c r="U7" i="7"/>
  <c r="U11" i="7" s="1"/>
  <c r="U37" i="7" s="1"/>
  <c r="W6" i="7"/>
  <c r="O67" i="7"/>
  <c r="O66" i="7"/>
  <c r="O62" i="7"/>
  <c r="Q60" i="7"/>
  <c r="Q48" i="7"/>
  <c r="Q47" i="7"/>
  <c r="S49" i="7"/>
  <c r="S45" i="7"/>
  <c r="AC15" i="7"/>
  <c r="AA22" i="7"/>
  <c r="AA35" i="7" s="1"/>
  <c r="AC8" i="7"/>
  <c r="AA9" i="7"/>
  <c r="AB78" i="15" l="1"/>
  <c r="AB79" i="15" s="1"/>
  <c r="AB81" i="15" s="1"/>
  <c r="J82" i="15" s="1"/>
  <c r="AA4" i="7"/>
  <c r="Y5" i="7"/>
  <c r="Y6" i="7"/>
  <c r="W7" i="7"/>
  <c r="W11" i="7" s="1"/>
  <c r="W37" i="7" s="1"/>
  <c r="U45" i="7"/>
  <c r="U49" i="7"/>
  <c r="Q66" i="7"/>
  <c r="Q67" i="7"/>
  <c r="Q62" i="7"/>
  <c r="S48" i="7"/>
  <c r="S47" i="7"/>
  <c r="S60" i="7"/>
  <c r="O70" i="7"/>
  <c r="O72" i="7" s="1"/>
  <c r="AE15" i="7"/>
  <c r="AC22" i="7"/>
  <c r="AC35" i="7" s="1"/>
  <c r="AC9" i="7"/>
  <c r="AE8" i="7"/>
  <c r="M27" i="3" l="1"/>
  <c r="BE20" i="3" s="1"/>
  <c r="I10" i="21"/>
  <c r="I11" i="21" s="1"/>
  <c r="AA5" i="7"/>
  <c r="AC4" i="7"/>
  <c r="S67" i="7"/>
  <c r="S66" i="7"/>
  <c r="S62" i="7"/>
  <c r="U62" i="7" s="1"/>
  <c r="W62" i="7" s="1"/>
  <c r="U48" i="7"/>
  <c r="U60" i="7"/>
  <c r="U47" i="7"/>
  <c r="Q70" i="7"/>
  <c r="Q72" i="7" s="1"/>
  <c r="W49" i="7"/>
  <c r="W45" i="7"/>
  <c r="Y7" i="7"/>
  <c r="Y11" i="7" s="1"/>
  <c r="Y37" i="7" s="1"/>
  <c r="AA6" i="7"/>
  <c r="AE22" i="7"/>
  <c r="AE35" i="7" s="1"/>
  <c r="AG15" i="7"/>
  <c r="AG22" i="7" s="1"/>
  <c r="AG35" i="7" s="1"/>
  <c r="AE9" i="7"/>
  <c r="AG8" i="7"/>
  <c r="AG9" i="7" s="1"/>
  <c r="I18" i="21" l="1"/>
  <c r="H4" i="21" s="1"/>
  <c r="P205" i="3"/>
  <c r="S70" i="7"/>
  <c r="S72" i="7" s="1"/>
  <c r="AC5" i="7"/>
  <c r="AE4" i="7"/>
  <c r="AC6" i="7"/>
  <c r="AA7" i="7"/>
  <c r="AA11" i="7" s="1"/>
  <c r="AA37" i="7" s="1"/>
  <c r="U66" i="7"/>
  <c r="U67" i="7"/>
  <c r="Y49" i="7"/>
  <c r="Y45" i="7"/>
  <c r="W60" i="7"/>
  <c r="W47" i="7"/>
  <c r="W48" i="7"/>
  <c r="AE5" i="7" l="1"/>
  <c r="AG4" i="7"/>
  <c r="AA45" i="7"/>
  <c r="AA49" i="7"/>
  <c r="U70" i="7"/>
  <c r="U72" i="7" s="1"/>
  <c r="W67" i="7"/>
  <c r="W66" i="7"/>
  <c r="Y47" i="7"/>
  <c r="Y48" i="7"/>
  <c r="Y60" i="7"/>
  <c r="AE6" i="7"/>
  <c r="AC7" i="7"/>
  <c r="AC11" i="7" s="1"/>
  <c r="AC37" i="7" s="1"/>
  <c r="AG5" i="7" l="1"/>
  <c r="W70" i="7"/>
  <c r="W72" i="7" s="1"/>
  <c r="AA60" i="7"/>
  <c r="AA47" i="7"/>
  <c r="AA48" i="7"/>
  <c r="AC45" i="7"/>
  <c r="AC49" i="7"/>
  <c r="AE7" i="7"/>
  <c r="AE11" i="7" s="1"/>
  <c r="AE37" i="7" s="1"/>
  <c r="AG6" i="7"/>
  <c r="Y67" i="7"/>
  <c r="Y66" i="7"/>
  <c r="Y70" i="7" l="1"/>
  <c r="Y72" i="7" s="1"/>
  <c r="AG7" i="7"/>
  <c r="AG11" i="7" s="1"/>
  <c r="AG37" i="7" s="1"/>
  <c r="AE49" i="7"/>
  <c r="AE45" i="7"/>
  <c r="AC60" i="7"/>
  <c r="AC48" i="7"/>
  <c r="AC47" i="7"/>
  <c r="AA66" i="7"/>
  <c r="AA67" i="7"/>
  <c r="AA70" i="7" l="1"/>
  <c r="AA72" i="7" s="1"/>
  <c r="AC66" i="7"/>
  <c r="AC67" i="7"/>
  <c r="AE47" i="7"/>
  <c r="AE60" i="7"/>
  <c r="AE48" i="7"/>
  <c r="AG49" i="7"/>
  <c r="AG45" i="7"/>
  <c r="AG48" i="7" l="1"/>
  <c r="AG60" i="7"/>
  <c r="AG47" i="7"/>
  <c r="AE66" i="7"/>
  <c r="AE67" i="7"/>
  <c r="AC70" i="7"/>
  <c r="AC72" i="7" s="1"/>
  <c r="AE70" i="7" l="1"/>
  <c r="AE72" i="7" s="1"/>
  <c r="AG66" i="7"/>
  <c r="AG67" i="7"/>
  <c r="AG70" i="7" l="1"/>
  <c r="AG72" i="7" s="1"/>
  <c r="BH753" i="3"/>
  <c r="AC753" i="3" s="1"/>
  <c r="BE42" i="3" s="1"/>
  <c r="E93" i="20" l="1"/>
  <c r="E94" i="20" s="1"/>
  <c r="E95" i="20" s="1"/>
  <c r="E103" i="20"/>
  <c r="E106" i="20" s="1"/>
  <c r="AP106" i="20" s="1"/>
  <c r="AK109" i="20" s="1"/>
  <c r="T806" i="20" s="1"/>
  <c r="AF806" i="20" s="1"/>
  <c r="BE73" i="3" l="1"/>
  <c r="AF821" i="20"/>
  <c r="BE70" i="3" s="1"/>
  <c r="H3" i="21"/>
  <c r="H5" i="21" l="1"/>
  <c r="BE8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C554" authorId="0" shapeId="0" xr:uid="{3BBBF0A6-F42A-4B09-AADF-AC3D0A9E410C}">
      <text>
        <r>
          <rPr>
            <sz val="9"/>
            <color indexed="81"/>
            <rFont val="Tahoma"/>
            <family val="2"/>
          </rPr>
          <t>Input tax-exempt bond amount.  This cell is linked to the tie breaker.  Do not include any taxable bond amount.</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<sst xmlns="http://schemas.openxmlformats.org/spreadsheetml/2006/main" count="5015" uniqueCount="2747">
  <si>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</si>
  <si>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</si>
  <si>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</si>
  <si>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</si>
  <si>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</si>
  <si>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</si>
  <si>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</si>
  <si>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</si>
  <si>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</si>
  <si>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</si>
  <si>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</si>
  <si>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</si>
  <si>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</si>
  <si>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</si>
  <si>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</si>
  <si>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</si>
  <si>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</si>
  <si>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</si>
  <si>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</si>
  <si>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</si>
  <si>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</si>
  <si>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</si>
  <si>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</si>
  <si>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</si>
  <si>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</si>
  <si>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</si>
  <si>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</si>
  <si>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</si>
  <si>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</si>
  <si>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</si>
  <si>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</si>
  <si>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</si>
  <si>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</si>
  <si>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</si>
  <si>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</si>
  <si>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</si>
  <si>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</si>
  <si>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</si>
  <si>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</si>
  <si>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</si>
  <si>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</si>
  <si>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</si>
  <si>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</si>
  <si>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</si>
  <si>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</si>
  <si>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</si>
  <si>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</si>
  <si>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</si>
  <si>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</si>
  <si>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</si>
  <si>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</si>
  <si>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</si>
  <si>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</si>
  <si>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</si>
  <si>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</si>
  <si>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</si>
  <si>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</si>
  <si>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</si>
  <si>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</si>
  <si>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</si>
  <si>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</si>
  <si>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</si>
  <si>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</si>
  <si>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</si>
  <si>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</si>
  <si>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</si>
  <si>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</si>
  <si>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</si>
  <si>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</si>
  <si>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</si>
  <si>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</si>
  <si>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</si>
  <si>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</si>
  <si>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</si>
  <si>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</si>
  <si>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</si>
  <si>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</si>
  <si>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</si>
  <si>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</si>
  <si>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</si>
  <si>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</si>
  <si>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</si>
  <si>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</si>
  <si>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</si>
  <si>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</si>
  <si>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</si>
  <si>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</si>
  <si>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</si>
  <si>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</si>
  <si>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</si>
  <si>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</si>
  <si>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</si>
  <si>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</si>
  <si>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</si>
  <si>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</si>
  <si>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</si>
  <si>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</si>
  <si>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</si>
  <si>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</si>
  <si>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</si>
  <si>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</si>
  <si>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</si>
  <si>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</si>
  <si>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</si>
  <si>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</si>
  <si>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</si>
  <si>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</si>
  <si>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</si>
  <si>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</si>
  <si>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</si>
  <si>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</si>
  <si>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</si>
  <si>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</si>
  <si>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</si>
  <si>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</si>
  <si>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</si>
  <si>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</si>
  <si>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</si>
  <si>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</si>
  <si>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</si>
  <si>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</si>
  <si>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</si>
  <si>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</si>
  <si>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</si>
  <si>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</si>
  <si>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</si>
  <si>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</si>
  <si>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</si>
  <si>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</si>
  <si>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</si>
  <si>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</si>
  <si>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</si>
  <si>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</si>
  <si>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</si>
  <si>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</si>
  <si>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</si>
  <si>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</si>
  <si>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</si>
  <si>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</si>
  <si>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</si>
  <si>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</si>
  <si>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</si>
  <si>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</si>
  <si>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</si>
  <si>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</si>
  <si>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</si>
  <si>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</si>
  <si>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</si>
  <si>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</si>
  <si>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</si>
  <si>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</si>
  <si>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</si>
  <si>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</si>
  <si>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</si>
  <si>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</si>
  <si>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</si>
  <si>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</si>
  <si>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</si>
  <si>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</si>
  <si>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</si>
  <si>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</si>
  <si>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</si>
  <si>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</si>
  <si>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</si>
  <si>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</si>
  <si>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</si>
  <si>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</si>
  <si>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</si>
  <si>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</si>
  <si>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</si>
  <si>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</si>
  <si>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</si>
  <si>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</si>
  <si>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</si>
  <si>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</si>
  <si>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</si>
  <si>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</si>
  <si>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</si>
  <si>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</si>
  <si>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</si>
  <si>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</si>
  <si>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</si>
  <si>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</si>
  <si>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</si>
  <si>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</si>
  <si>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</si>
  <si>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</si>
  <si>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</si>
  <si>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</si>
  <si>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</si>
  <si>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</si>
  <si>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</si>
  <si>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</si>
  <si>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</si>
  <si>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</si>
  <si>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</si>
  <si>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</si>
  <si>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</si>
  <si>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</si>
  <si>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</si>
  <si>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</si>
  <si>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</si>
  <si>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</si>
  <si>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</si>
  <si>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</si>
  <si>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</si>
  <si>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</si>
  <si>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</si>
  <si>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</si>
  <si>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</si>
  <si>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</si>
  <si>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</si>
  <si>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</si>
  <si>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</si>
  <si>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</si>
  <si>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</si>
  <si>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</si>
  <si>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</si>
  <si>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</si>
  <si>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</si>
  <si>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</si>
  <si>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</si>
  <si>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</si>
  <si>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</si>
  <si>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</si>
  <si>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</si>
  <si>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</si>
  <si>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</si>
  <si>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</si>
  <si>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</si>
  <si>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</si>
  <si>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</si>
  <si>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</si>
  <si>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</si>
  <si>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</si>
  <si>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</si>
  <si>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</si>
  <si>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</si>
  <si>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</si>
  <si>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</si>
  <si>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</si>
  <si>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</si>
  <si>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</si>
  <si>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</si>
  <si>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</si>
  <si>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</si>
  <si>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</si>
  <si>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</si>
  <si>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</si>
  <si>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</si>
  <si>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</si>
  <si>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</si>
  <si>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</si>
  <si>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</si>
  <si>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</si>
  <si>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</si>
  <si>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</si>
  <si>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</si>
  <si>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</si>
  <si>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</si>
  <si>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</si>
  <si>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</si>
  <si>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</si>
  <si>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</si>
  <si>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</si>
  <si>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</si>
  <si>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</si>
  <si>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</si>
  <si>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</si>
  <si>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</si>
  <si>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</si>
  <si>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</si>
  <si>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</si>
  <si>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</si>
  <si>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</si>
  <si>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</si>
  <si>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</si>
  <si>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</si>
  <si>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</si>
  <si>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</si>
  <si>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</si>
  <si>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</si>
  <si>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</si>
  <si>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</si>
  <si>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</si>
  <si>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</si>
  <si>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</si>
  <si>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</si>
  <si>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</si>
  <si>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</si>
  <si>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</si>
  <si>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</si>
  <si>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</si>
  <si>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</si>
  <si>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</si>
  <si>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</si>
  <si>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</si>
  <si>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</si>
  <si>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</si>
  <si>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</si>
  <si>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</si>
  <si>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</si>
  <si>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</si>
  <si>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</si>
  <si>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</si>
  <si>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</si>
  <si>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</si>
  <si>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</si>
  <si>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</si>
  <si>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</si>
  <si>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</si>
  <si>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</si>
  <si>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</si>
  <si>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</si>
  <si>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</si>
  <si>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</si>
  <si>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</si>
  <si>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</si>
  <si>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</si>
  <si>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</si>
  <si>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</si>
  <si>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</si>
  <si>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</si>
  <si>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</si>
  <si>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</si>
  <si>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</si>
  <si>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</si>
  <si>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</si>
  <si>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</si>
  <si>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</si>
  <si>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</si>
  <si>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</si>
  <si>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</si>
  <si>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</si>
  <si>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</si>
  <si>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</si>
  <si>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</si>
  <si>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</si>
  <si>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</si>
  <si>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</si>
  <si>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</si>
  <si>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</si>
  <si>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</si>
  <si>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</si>
  <si>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</si>
  <si>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</si>
  <si>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</si>
  <si>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</si>
  <si>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</si>
  <si>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</si>
  <si>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</si>
  <si>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</si>
  <si>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</si>
  <si>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</si>
  <si>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</si>
  <si>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</si>
  <si>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</si>
  <si>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</si>
  <si>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</si>
  <si>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</si>
  <si>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</si>
  <si>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</si>
  <si>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</si>
  <si>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</si>
  <si>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</si>
  <si>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</si>
  <si>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</si>
  <si>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</si>
  <si>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</si>
  <si>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</si>
  <si>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</si>
  <si>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</si>
  <si>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</si>
  <si>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</si>
  <si>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</si>
  <si>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</si>
  <si>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</si>
  <si>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</si>
  <si>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</si>
  <si>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</si>
  <si>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</si>
  <si>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</si>
  <si>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</si>
  <si>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</si>
  <si>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</si>
  <si>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</si>
  <si>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</si>
  <si>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</si>
  <si>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</si>
  <si>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</si>
  <si>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</si>
  <si>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</si>
  <si>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</si>
  <si>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</si>
  <si>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</si>
  <si>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</si>
  <si>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</si>
  <si>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</si>
  <si>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</si>
  <si>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</si>
  <si>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</si>
  <si>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</si>
  <si>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</si>
  <si>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</si>
  <si>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</si>
  <si>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</si>
  <si>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</si>
  <si>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</si>
  <si>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</si>
  <si>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</si>
  <si>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</si>
  <si>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</si>
  <si>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</si>
  <si>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</si>
  <si>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</si>
  <si>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</si>
  <si>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</si>
  <si>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</si>
  <si>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</si>
  <si>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</si>
  <si>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</si>
  <si>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</si>
  <si>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</si>
  <si>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</si>
  <si>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</si>
  <si>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</si>
  <si>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</si>
  <si>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</si>
  <si>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</si>
  <si>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</si>
  <si>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</si>
  <si>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</si>
  <si>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</si>
  <si>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</si>
  <si>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</si>
  <si>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</si>
  <si>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</si>
  <si>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</si>
  <si>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</si>
  <si>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</si>
  <si>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</si>
  <si>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</si>
  <si>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</si>
  <si>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</si>
  <si>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</si>
  <si>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</si>
  <si>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</si>
  <si>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</si>
  <si>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</si>
  <si>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</si>
  <si>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</si>
  <si>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</si>
  <si>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</si>
  <si>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</si>
  <si>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</si>
  <si>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</si>
  <si>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</si>
  <si>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</si>
  <si>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</si>
  <si>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</si>
  <si>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</si>
  <si>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</si>
  <si>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</si>
  <si>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</si>
  <si>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</si>
  <si>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</si>
  <si>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</si>
  <si>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</si>
  <si>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</si>
  <si>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</si>
  <si>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</si>
  <si>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</si>
  <si>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</si>
  <si>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</si>
  <si>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</si>
  <si>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</si>
  <si>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</si>
  <si>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</si>
  <si>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</si>
  <si>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</si>
  <si>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</si>
  <si>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</si>
  <si>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</si>
  <si>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</si>
  <si>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</si>
  <si>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</si>
  <si>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</si>
  <si>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</si>
  <si>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</si>
  <si>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</si>
  <si>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</si>
  <si>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</si>
  <si>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</si>
  <si>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</si>
  <si>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</si>
  <si>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</si>
  <si>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</si>
  <si>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</si>
  <si>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</si>
  <si>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</si>
  <si>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</si>
  <si>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</si>
  <si>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</si>
  <si>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</si>
  <si>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</si>
  <si>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</si>
  <si>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</si>
  <si>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</si>
  <si>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</si>
  <si>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</si>
  <si>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</si>
  <si>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</si>
  <si>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</si>
  <si>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</si>
  <si>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</si>
  <si>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</si>
  <si>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</si>
  <si>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</si>
  <si>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</si>
  <si>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</si>
  <si>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</si>
  <si>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</si>
  <si>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</si>
  <si>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</si>
  <si>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</si>
  <si>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</si>
  <si>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</si>
  <si>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</si>
  <si>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</si>
  <si>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</si>
  <si>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</si>
  <si>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</si>
  <si>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</si>
  <si>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</si>
  <si>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</si>
  <si>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</si>
  <si>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</si>
  <si>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</si>
  <si>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</si>
  <si>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</si>
  <si>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</si>
  <si>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</si>
  <si>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</si>
  <si>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</si>
  <si>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</si>
  <si>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</si>
  <si>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</si>
  <si>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</si>
  <si>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</si>
  <si>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</si>
  <si>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</si>
  <si>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</si>
  <si>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</si>
  <si>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</si>
  <si>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</si>
  <si>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</si>
  <si>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</si>
  <si>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</si>
  <si>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</si>
  <si>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</si>
  <si>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</si>
  <si>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</si>
  <si>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</si>
  <si>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</si>
  <si>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</si>
  <si>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</si>
  <si>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</si>
  <si>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</si>
  <si>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</si>
  <si>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</si>
  <si>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</si>
  <si>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</si>
  <si>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</si>
  <si>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</si>
  <si>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</si>
  <si>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</si>
  <si>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</si>
  <si>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</si>
  <si>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</si>
  <si>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</si>
  <si>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</si>
  <si>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</si>
  <si>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</si>
  <si>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</si>
  <si>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</si>
  <si>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</si>
  <si>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</si>
  <si>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</si>
  <si>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</si>
  <si>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</si>
  <si>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</si>
  <si>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</si>
  <si>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</si>
  <si>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</si>
  <si>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</si>
  <si>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</si>
  <si>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</si>
  <si>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</si>
  <si>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</si>
  <si>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</si>
  <si>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</si>
  <si>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</si>
  <si>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</si>
  <si>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</si>
  <si>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</si>
  <si>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</si>
  <si>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</si>
  <si>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</si>
  <si>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</si>
  <si>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</si>
  <si>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</si>
  <si>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</si>
  <si>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</si>
  <si>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</si>
  <si>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</si>
  <si>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</si>
  <si>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</si>
  <si>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</si>
  <si>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</si>
  <si>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</si>
  <si>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</si>
  <si>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</si>
  <si>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</si>
  <si>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</si>
  <si>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</si>
  <si>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</si>
  <si>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</si>
  <si>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</si>
  <si>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</si>
  <si>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</si>
  <si>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</si>
  <si>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</si>
  <si>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</si>
  <si>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</si>
  <si>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</si>
  <si>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</si>
  <si>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</si>
  <si>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</si>
  <si>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</si>
  <si>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</si>
  <si>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</si>
  <si>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</si>
  <si>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</si>
  <si>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</si>
  <si>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</si>
  <si>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</si>
  <si>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</si>
  <si>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</si>
  <si>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</si>
  <si>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</si>
  <si>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</si>
  <si>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</si>
  <si>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</si>
  <si>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</si>
  <si>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</si>
  <si>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</si>
  <si>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</si>
  <si>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</si>
  <si>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</si>
  <si>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</si>
  <si>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</si>
  <si>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</si>
  <si>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</si>
  <si>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</si>
  <si>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</si>
  <si>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</si>
  <si>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</si>
  <si>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</si>
  <si>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</si>
  <si>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</si>
  <si>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</si>
  <si>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</si>
  <si>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</si>
  <si>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</si>
  <si>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</si>
  <si>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</si>
  <si>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</si>
  <si>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</si>
  <si>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</si>
  <si>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</si>
  <si>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</si>
  <si>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</si>
  <si>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</si>
  <si>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</si>
  <si>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</si>
  <si>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</si>
  <si>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</si>
  <si>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</si>
  <si>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</si>
  <si>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</si>
  <si>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</si>
  <si>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</si>
  <si>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</si>
  <si>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</si>
  <si>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</si>
  <si>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</si>
  <si>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</si>
  <si>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</si>
  <si>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</si>
  <si>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</si>
  <si>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</si>
  <si>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</si>
  <si>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</si>
  <si>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</si>
  <si>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</si>
  <si>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</si>
  <si>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</si>
  <si>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</si>
  <si>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</si>
  <si>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</si>
  <si>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</si>
  <si>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</si>
  <si>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</si>
  <si>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</si>
  <si>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</si>
  <si>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</si>
  <si>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</si>
  <si>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</si>
  <si>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</si>
  <si>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</si>
  <si>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</si>
  <si>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</si>
  <si>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</si>
  <si>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</si>
  <si>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</si>
  <si>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</si>
  <si>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</si>
  <si>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</si>
  <si>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</si>
  <si>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</si>
  <si>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</si>
  <si>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</si>
  <si>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</si>
  <si>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</si>
  <si>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</si>
  <si>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</si>
  <si>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</si>
  <si>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</si>
  <si>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</si>
  <si>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</si>
  <si>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</si>
  <si>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</si>
  <si>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</si>
  <si>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</si>
  <si>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</si>
  <si>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</si>
  <si>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</si>
  <si>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</si>
  <si>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</si>
  <si>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</si>
  <si>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</si>
  <si>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</si>
  <si>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</si>
  <si>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</si>
  <si>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</si>
  <si>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</si>
  <si>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</si>
  <si>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</si>
  <si>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</si>
  <si>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</si>
  <si>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</si>
  <si>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</si>
  <si>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</si>
  <si>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</si>
  <si>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</si>
  <si>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</si>
  <si>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</si>
  <si>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</si>
  <si>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</si>
  <si>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</si>
  <si>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</si>
  <si>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</si>
  <si>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</si>
  <si>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</si>
  <si>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</si>
  <si>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</si>
  <si>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</si>
  <si>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</si>
  <si>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</si>
  <si>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</si>
  <si>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</si>
  <si>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</si>
  <si>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</si>
  <si>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</si>
  <si>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</si>
  <si>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</si>
  <si>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</si>
  <si>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</si>
  <si>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</si>
  <si>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</si>
  <si>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</si>
  <si>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</si>
  <si>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</si>
  <si>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</si>
  <si>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</si>
  <si>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</si>
  <si>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</si>
  <si>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</si>
  <si>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</si>
  <si>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</si>
  <si>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</si>
  <si>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</si>
  <si>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</si>
  <si>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</si>
  <si>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</si>
  <si>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</si>
  <si>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</si>
  <si>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</si>
  <si>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</si>
  <si>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</si>
  <si>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</si>
  <si>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</si>
  <si>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</si>
  <si>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</si>
  <si>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</si>
  <si>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</si>
  <si>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</si>
  <si>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</si>
  <si>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</si>
  <si>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</si>
  <si>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</si>
  <si>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</si>
  <si>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</si>
  <si>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</si>
  <si>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</si>
  <si>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</si>
  <si>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</si>
  <si>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</si>
  <si>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</si>
  <si>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</si>
  <si>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</si>
  <si>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</si>
  <si>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</si>
  <si>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</si>
  <si>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</si>
  <si>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</si>
  <si>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</si>
  <si>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</si>
  <si>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</si>
  <si>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</si>
  <si>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</si>
  <si>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</si>
  <si>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</si>
  <si>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</si>
  <si>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</si>
  <si>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</si>
  <si>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</si>
  <si>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</si>
  <si>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</si>
  <si>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</si>
  <si>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</si>
  <si>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</si>
  <si>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</si>
  <si>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</si>
  <si>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</si>
  <si>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</si>
  <si>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</si>
  <si>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</si>
  <si>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</si>
  <si>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</si>
  <si>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</si>
  <si>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</si>
  <si>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</si>
  <si>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</si>
  <si>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</si>
  <si>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</si>
  <si>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</si>
  <si>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</si>
  <si>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</si>
  <si>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</si>
  <si>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</si>
  <si>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</si>
  <si>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</si>
  <si>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</si>
  <si>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</si>
  <si>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</si>
  <si>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</si>
  <si>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</si>
  <si>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</si>
  <si>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</si>
  <si>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</si>
  <si>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</si>
  <si>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</si>
  <si>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</si>
  <si>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</si>
  <si>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</si>
  <si>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</si>
  <si>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</si>
  <si>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</si>
  <si>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</si>
  <si>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</si>
  <si>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</si>
  <si>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</si>
  <si>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</si>
  <si>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</si>
  <si>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</si>
  <si>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</si>
  <si>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</si>
  <si>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</si>
  <si>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</si>
  <si>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</si>
  <si>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</si>
  <si>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</si>
  <si>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</si>
  <si>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</si>
  <si>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</si>
  <si>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</si>
  <si>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</si>
  <si>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</si>
  <si>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</si>
  <si>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</si>
  <si>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</si>
  <si>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</si>
  <si>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</si>
  <si>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</si>
  <si>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</si>
  <si>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</si>
  <si>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</si>
  <si>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</si>
  <si>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</si>
  <si>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</si>
  <si>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</si>
  <si>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</si>
  <si>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</si>
  <si>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</si>
  <si>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</si>
  <si>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</si>
  <si>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</si>
  <si>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</si>
  <si>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</si>
  <si>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</si>
  <si>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</si>
  <si>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</si>
  <si>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</si>
  <si>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</si>
  <si>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</si>
  <si>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</si>
  <si>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</si>
  <si>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</si>
  <si>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</si>
  <si>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</si>
  <si>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</si>
  <si>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</si>
  <si>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</si>
  <si>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</si>
  <si>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</si>
  <si>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</si>
  <si>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</si>
  <si>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</si>
  <si>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</si>
  <si>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</si>
  <si>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</si>
  <si>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</si>
  <si>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</si>
  <si>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</si>
  <si>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</si>
  <si>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</si>
  <si>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</si>
  <si>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</si>
  <si>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</si>
  <si>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</si>
  <si>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</si>
  <si>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</si>
  <si>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</si>
  <si>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</si>
  <si>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</si>
  <si>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</si>
  <si>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</si>
  <si>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</si>
  <si>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</si>
  <si>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</si>
  <si>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</si>
  <si>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</si>
  <si>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</si>
  <si>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</si>
  <si>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</si>
  <si>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</si>
  <si>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</si>
  <si>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</si>
  <si>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</si>
  <si>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</si>
  <si>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</si>
  <si>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</si>
  <si>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</si>
  <si>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</si>
  <si>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</si>
  <si>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</si>
  <si>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</si>
  <si>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</si>
  <si>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</si>
  <si>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</si>
  <si>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</si>
  <si>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</si>
  <si>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</si>
  <si>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</si>
  <si>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</si>
  <si>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</si>
  <si>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</si>
  <si>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</si>
  <si>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</si>
  <si>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</si>
  <si>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</si>
  <si>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</si>
  <si>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</si>
  <si>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</si>
  <si>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</si>
  <si>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</si>
  <si>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</si>
  <si>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</si>
  <si>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</si>
  <si>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</si>
  <si>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</si>
  <si>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</si>
  <si>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</si>
  <si>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</si>
  <si>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</si>
  <si>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</si>
  <si>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</si>
  <si>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</si>
  <si>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</si>
  <si>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</si>
  <si>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</si>
  <si>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</si>
  <si>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</si>
  <si>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</si>
  <si>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</si>
  <si>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</si>
  <si>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</si>
  <si>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</si>
  <si>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</si>
  <si>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</si>
  <si>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</si>
  <si>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</si>
  <si>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</si>
  <si>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</si>
  <si>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</si>
  <si>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</si>
  <si>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</si>
  <si>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</si>
  <si>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</si>
  <si>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</si>
  <si>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</si>
  <si>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</si>
  <si>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</si>
  <si>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</si>
  <si>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</si>
  <si>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</si>
  <si>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</si>
  <si>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</si>
  <si>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</si>
  <si>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</si>
  <si>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</si>
  <si>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</si>
  <si>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</si>
  <si>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</si>
  <si>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</si>
  <si>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</si>
  <si>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</si>
  <si>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</si>
  <si>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</si>
  <si>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</si>
  <si>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</si>
  <si>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</si>
  <si>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</si>
  <si>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</si>
  <si>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</si>
  <si>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</si>
  <si>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</si>
  <si>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</si>
  <si>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</si>
  <si>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</si>
  <si>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</si>
  <si>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</si>
  <si>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</si>
  <si>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</si>
  <si>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</si>
  <si>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</si>
  <si>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</si>
  <si>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</si>
  <si>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</si>
  <si>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</si>
  <si>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</si>
  <si>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</si>
  <si>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</si>
  <si>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</si>
  <si>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</si>
  <si>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</si>
  <si>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</si>
  <si>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</si>
  <si>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</si>
  <si>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</si>
  <si>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</si>
  <si>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</si>
  <si>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</si>
  <si>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</si>
  <si>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</si>
  <si>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</si>
  <si>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</si>
  <si>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</si>
  <si>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</si>
  <si>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</si>
  <si>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</si>
  <si>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</si>
  <si>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</si>
  <si>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</si>
  <si>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</si>
  <si>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</si>
  <si>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</si>
  <si>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</si>
  <si>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</si>
  <si>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</si>
  <si>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</si>
  <si>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</si>
  <si>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</si>
  <si>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</si>
  <si>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</si>
  <si>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</si>
  <si>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</si>
  <si>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</si>
  <si>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</si>
  <si>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</si>
  <si>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</si>
  <si>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</si>
  <si>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</si>
  <si>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</si>
  <si>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</si>
  <si>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</si>
  <si>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</si>
  <si>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</si>
  <si>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</si>
  <si>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</si>
  <si>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</si>
  <si>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</si>
  <si>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</si>
  <si>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</si>
  <si>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</si>
  <si>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</si>
  <si>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</si>
  <si>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</si>
  <si>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</si>
  <si>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</si>
  <si>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</si>
  <si>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</si>
  <si>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</si>
  <si>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</si>
  <si>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</si>
  <si>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</si>
  <si>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</si>
  <si>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</si>
  <si>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</si>
  <si>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</si>
  <si>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</si>
  <si>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</si>
  <si>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</si>
  <si>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</si>
  <si>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</si>
  <si>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</si>
  <si>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</si>
  <si>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</si>
  <si>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</si>
  <si>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</si>
  <si>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</si>
  <si>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</si>
  <si>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</si>
  <si>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</si>
  <si>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</si>
  <si>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</si>
  <si>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</si>
  <si>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</si>
  <si>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</si>
  <si>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</si>
  <si>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</si>
  <si>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</si>
  <si>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</si>
  <si>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</si>
  <si>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</si>
  <si>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</si>
  <si>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</si>
  <si>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</si>
  <si>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</si>
  <si>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</si>
  <si>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</si>
  <si>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</si>
  <si>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</si>
  <si>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</si>
  <si>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</si>
  <si>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</si>
  <si>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</si>
  <si>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</si>
  <si>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</si>
  <si>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</si>
  <si>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</si>
  <si>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</si>
  <si>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</si>
  <si>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</si>
  <si>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</si>
  <si>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</si>
  <si>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</si>
  <si>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</si>
  <si>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</si>
  <si>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</si>
  <si>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</si>
  <si>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</si>
  <si>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</si>
  <si>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</si>
  <si>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</si>
  <si>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</si>
  <si>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</si>
  <si>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</si>
  <si>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</si>
  <si>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</si>
  <si>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</si>
  <si>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</si>
  <si>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</si>
  <si>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</si>
  <si>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</si>
  <si>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</si>
  <si>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</si>
  <si>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</si>
  <si>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</si>
  <si>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</si>
  <si>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</si>
  <si>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</si>
  <si>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</si>
  <si>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</si>
  <si>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</si>
  <si>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</si>
  <si>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</si>
  <si>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</si>
  <si>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</si>
  <si>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</si>
  <si>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</si>
  <si>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</si>
  <si>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</si>
  <si>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</si>
  <si>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</si>
  <si>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</si>
  <si>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</si>
  <si>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</si>
  <si>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</si>
  <si>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</si>
  <si>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</si>
  <si>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</si>
  <si>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</si>
  <si>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</si>
  <si>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</si>
  <si>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</si>
  <si>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</si>
  <si>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</si>
  <si>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</si>
  <si>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</si>
  <si>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</si>
  <si>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</si>
  <si>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</si>
  <si>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</si>
  <si>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</si>
  <si>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</si>
  <si>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</si>
  <si>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</si>
  <si>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</si>
  <si>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</si>
  <si>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</si>
  <si>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</si>
  <si>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</si>
  <si>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</si>
  <si>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</si>
  <si>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</si>
  <si>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</si>
  <si>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</si>
  <si>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</si>
  <si>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</si>
  <si>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</si>
  <si>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</si>
  <si>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</si>
  <si>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</si>
  <si>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</si>
  <si>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</si>
  <si>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</si>
  <si>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</si>
  <si>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</si>
  <si>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</si>
  <si>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</si>
  <si>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</si>
  <si>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</si>
  <si>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</si>
  <si>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</si>
  <si>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</si>
  <si>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</si>
  <si>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</si>
  <si>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</si>
  <si>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</si>
  <si>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</si>
  <si>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</si>
  <si>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</si>
  <si>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</si>
  <si>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</si>
  <si>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</si>
  <si>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</si>
  <si>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</si>
  <si>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</si>
  <si>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</si>
  <si>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</si>
  <si>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</si>
  <si>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</si>
  <si>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</si>
  <si>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</si>
  <si>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</si>
  <si>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</si>
  <si>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</si>
  <si>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</si>
  <si>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</si>
  <si>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</si>
  <si>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</si>
  <si>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</si>
  <si>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</si>
  <si>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</si>
  <si>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</si>
  <si>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</si>
  <si>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</si>
  <si>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</si>
  <si>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</si>
  <si>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</si>
  <si>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</si>
  <si>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</si>
  <si>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</si>
  <si>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</si>
  <si>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</si>
  <si>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</si>
  <si>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</si>
  <si>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</si>
  <si>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</si>
  <si>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</si>
  <si>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</si>
  <si>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</si>
  <si>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</si>
  <si>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</si>
  <si>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</si>
  <si>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</si>
  <si>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</si>
  <si>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</si>
  <si>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</si>
  <si>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</si>
  <si>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</si>
  <si>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</si>
  <si>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</si>
  <si>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</si>
  <si>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</si>
  <si>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</si>
  <si>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</si>
  <si>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</si>
  <si>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</si>
  <si>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</si>
  <si>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</si>
  <si>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</si>
  <si>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</si>
  <si>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</si>
  <si>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</si>
  <si>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</si>
  <si>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</si>
  <si>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</si>
  <si>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</si>
  <si>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</si>
  <si>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</si>
  <si>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</si>
  <si>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</si>
  <si>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</si>
  <si>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</si>
  <si>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</si>
  <si>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</si>
  <si>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</si>
  <si>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</si>
  <si>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</si>
  <si>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</si>
  <si>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</si>
  <si>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</si>
  <si>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</si>
  <si>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</si>
  <si>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</si>
  <si>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</si>
  <si>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</si>
  <si>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</si>
  <si>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</si>
  <si>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</si>
  <si>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</si>
  <si>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</si>
  <si>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</si>
  <si>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</si>
  <si>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</si>
  <si>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</si>
  <si>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</si>
  <si>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</si>
  <si>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</si>
  <si>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</si>
  <si>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</si>
  <si>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</si>
  <si>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</si>
  <si>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</si>
  <si>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</si>
  <si>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</si>
  <si>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</si>
  <si>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</si>
  <si>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</si>
  <si>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</si>
  <si>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</si>
  <si>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</si>
  <si>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</si>
  <si>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</si>
  <si>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</si>
  <si>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</si>
  <si>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</si>
  <si>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</si>
  <si>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</si>
  <si>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</si>
  <si>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</si>
  <si>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</si>
  <si>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</si>
  <si>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</si>
  <si>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</si>
  <si>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</si>
  <si>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</si>
  <si>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</si>
  <si>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</si>
  <si>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</si>
  <si>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</si>
  <si>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</si>
  <si>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</si>
  <si>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</si>
  <si>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</si>
  <si>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</si>
  <si>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</si>
  <si>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</si>
  <si>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</si>
  <si>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</si>
  <si>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</si>
  <si>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</si>
  <si>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</si>
  <si>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</si>
  <si>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</si>
  <si>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</si>
  <si>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</si>
  <si>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</si>
  <si>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</si>
  <si>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</si>
  <si>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</si>
  <si>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</si>
  <si>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</si>
  <si>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</si>
  <si>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</si>
  <si>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</si>
  <si>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</si>
  <si>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</si>
  <si>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</si>
  <si>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</si>
  <si>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</si>
  <si>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</si>
  <si>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</si>
  <si>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</si>
  <si>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</si>
  <si>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</si>
  <si>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</si>
  <si>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</si>
  <si>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</si>
  <si>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</si>
  <si>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</si>
  <si>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</si>
  <si>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</si>
  <si>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</si>
  <si>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</si>
  <si>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</si>
  <si>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</si>
  <si>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</si>
  <si>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</si>
  <si>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</si>
  <si>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</si>
  <si>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</si>
  <si>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</si>
  <si>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</si>
  <si>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</si>
  <si>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</si>
  <si>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</si>
  <si>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</si>
  <si>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</si>
  <si>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</si>
  <si>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</si>
  <si>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</si>
  <si>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</si>
  <si>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</si>
  <si>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</si>
  <si>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</si>
  <si>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</si>
  <si>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</si>
  <si>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</si>
  <si>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</si>
  <si>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</si>
  <si>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</si>
  <si>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</si>
  <si>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</si>
  <si>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</si>
  <si>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</si>
  <si>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</si>
  <si>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</si>
  <si>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</si>
  <si>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</si>
  <si>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</si>
  <si>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</si>
  <si>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</si>
  <si>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</si>
  <si>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</si>
  <si>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</si>
  <si>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</si>
  <si>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</si>
  <si>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</si>
  <si>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</si>
  <si>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</si>
  <si>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</si>
  <si>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</si>
  <si>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</si>
  <si>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</si>
  <si>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</si>
  <si>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</si>
  <si>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</si>
  <si>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</si>
  <si>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</si>
  <si>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</si>
  <si>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</si>
  <si>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</si>
  <si>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</si>
  <si>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</si>
  <si>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</si>
  <si>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</si>
  <si>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</si>
  <si>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</si>
  <si>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</si>
  <si>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</si>
  <si>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</si>
  <si>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</si>
  <si>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</si>
  <si>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</si>
  <si>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</si>
  <si>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</si>
  <si>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</si>
  <si>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</si>
  <si>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</si>
  <si>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</si>
  <si>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</si>
  <si>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</si>
  <si>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</si>
  <si>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</si>
  <si>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</si>
  <si>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</si>
  <si>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</si>
  <si>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</si>
  <si>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</si>
  <si>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</si>
  <si>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</si>
  <si>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</si>
  <si>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</si>
  <si>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</si>
  <si>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</si>
  <si>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</si>
  <si>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</si>
  <si>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</si>
  <si>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</si>
  <si>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</si>
  <si>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</si>
  <si>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</si>
  <si>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</si>
  <si>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</si>
  <si>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</si>
  <si>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</si>
  <si>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</si>
  <si>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</si>
  <si>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</si>
  <si>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</si>
  <si>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</si>
  <si>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</si>
  <si>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</si>
  <si>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</si>
  <si>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</si>
  <si>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</si>
  <si>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</si>
  <si>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</si>
  <si>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</si>
  <si>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</si>
  <si>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</si>
  <si>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</si>
  <si>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</si>
  <si>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</si>
  <si>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</si>
  <si>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</si>
  <si>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</si>
  <si>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</si>
  <si>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</si>
  <si>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</si>
  <si>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</si>
  <si>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</si>
  <si>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</si>
  <si>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</si>
  <si>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</si>
  <si>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</si>
  <si>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</si>
  <si>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</si>
  <si>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</si>
  <si>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</si>
  <si>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</si>
  <si>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</si>
  <si>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</si>
  <si>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</si>
  <si>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</si>
  <si>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</si>
  <si>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</si>
  <si>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</si>
  <si>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</si>
  <si>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</si>
  <si>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</si>
  <si>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</si>
  <si>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</si>
  <si>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</si>
  <si>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</si>
  <si>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</si>
  <si>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</si>
  <si>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</si>
  <si>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</si>
  <si>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</si>
  <si>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</si>
  <si>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</si>
  <si>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</si>
  <si>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</si>
  <si>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</si>
  <si>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</si>
  <si>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</si>
  <si>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</si>
  <si>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</si>
  <si>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</si>
  <si>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</si>
  <si>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</si>
  <si>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</si>
  <si>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</si>
  <si>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</si>
  <si>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</si>
  <si>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</si>
  <si>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</si>
  <si>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</si>
  <si>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</si>
  <si>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</si>
  <si>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</si>
  <si>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</si>
  <si>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</si>
  <si>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</si>
  <si>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</si>
  <si>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</si>
  <si>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</si>
  <si>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</si>
  <si>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</si>
  <si>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</si>
  <si>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</si>
  <si>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</si>
  <si>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</si>
  <si>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</si>
  <si>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</si>
  <si>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</si>
  <si>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</si>
  <si>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</si>
  <si>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</si>
  <si>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</si>
  <si>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</si>
  <si>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</si>
  <si>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</si>
  <si>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</si>
  <si>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</si>
  <si>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</si>
  <si>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</si>
  <si>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</si>
  <si>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</si>
  <si>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</si>
  <si>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</si>
  <si>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</si>
  <si>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</si>
  <si>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</si>
  <si>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</si>
  <si>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</si>
  <si>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</si>
  <si>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</si>
  <si>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</si>
  <si>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</si>
  <si>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</si>
  <si>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</si>
  <si>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</si>
  <si>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</si>
  <si>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</si>
  <si>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</si>
  <si>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</si>
  <si>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</si>
  <si>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</si>
  <si>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</si>
  <si>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</si>
  <si>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</si>
  <si>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</si>
  <si>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</si>
  <si>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</si>
  <si>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</si>
  <si>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</si>
  <si>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</si>
  <si>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</si>
  <si>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</si>
  <si>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</si>
  <si>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</si>
  <si>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</si>
  <si>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</si>
  <si>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</si>
  <si>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</si>
  <si>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</si>
  <si>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</si>
  <si>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</si>
  <si>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</si>
  <si>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</si>
  <si>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</si>
  <si>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</si>
  <si>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</si>
  <si>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</si>
  <si>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</si>
  <si>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</si>
  <si>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</si>
  <si>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</si>
  <si>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</si>
  <si>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</si>
  <si>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</si>
  <si>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</si>
  <si>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</si>
  <si>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</si>
  <si>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</si>
  <si>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</si>
  <si>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</si>
  <si>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</si>
  <si>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</si>
  <si>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</si>
  <si>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</si>
  <si>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</si>
  <si>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</si>
  <si>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</si>
  <si>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</si>
  <si>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</si>
  <si>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</si>
  <si>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</si>
  <si>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</si>
  <si>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</si>
  <si>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</si>
  <si>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</si>
  <si>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</si>
  <si>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</si>
  <si>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</si>
  <si>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</si>
  <si>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</si>
  <si>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</si>
  <si>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</si>
  <si>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</si>
  <si>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</si>
  <si>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</si>
  <si>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</si>
  <si>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</si>
  <si>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</si>
  <si>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</si>
  <si>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</si>
  <si>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</si>
  <si>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</si>
  <si>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</si>
  <si>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</si>
  <si>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</si>
  <si>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</si>
  <si>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</si>
  <si>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</si>
  <si>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</si>
  <si>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</si>
  <si>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</si>
  <si>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</si>
  <si>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</si>
  <si>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</si>
  <si>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</si>
  <si>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</si>
  <si>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</si>
  <si>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</si>
  <si>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</si>
  <si>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</si>
  <si>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</si>
  <si>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</si>
  <si>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</si>
  <si>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</si>
  <si>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</si>
  <si>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</si>
  <si>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</si>
  <si>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</si>
  <si>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</si>
  <si>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</si>
  <si>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</si>
  <si>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</si>
  <si>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</si>
  <si>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</si>
  <si>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</si>
  <si>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</si>
  <si>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</si>
  <si>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</si>
  <si>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</si>
  <si>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</si>
  <si>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</si>
  <si>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</si>
  <si>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</si>
  <si>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</si>
  <si>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</si>
  <si>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</si>
  <si>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</si>
  <si>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</si>
  <si>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</si>
  <si>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</si>
  <si>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</si>
  <si>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</si>
  <si>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</si>
  <si>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</si>
  <si>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</si>
  <si>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</si>
  <si>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</si>
  <si>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</si>
  <si>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</si>
  <si>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</si>
  <si>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</si>
  <si>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</si>
  <si>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</si>
  <si>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</si>
  <si>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</si>
  <si>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</si>
  <si>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</si>
  <si>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</si>
  <si>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</si>
  <si>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</si>
  <si>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</si>
  <si>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</si>
  <si>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</si>
  <si>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</si>
  <si>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</si>
  <si>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</si>
  <si>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</si>
  <si>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</si>
  <si>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</si>
  <si>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</si>
  <si>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</si>
  <si>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</si>
  <si>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</si>
  <si>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</si>
  <si>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</si>
  <si>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</si>
  <si>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</si>
  <si>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</si>
  <si>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</si>
  <si>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</si>
  <si>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</si>
  <si>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</si>
  <si>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</si>
  <si>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</si>
  <si>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</si>
  <si>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</si>
  <si>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</si>
  <si>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</si>
  <si>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</si>
  <si>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</si>
  <si>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</si>
  <si>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</si>
  <si>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</si>
  <si>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</si>
  <si>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</si>
  <si>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</si>
  <si>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</si>
  <si>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</si>
  <si>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</si>
  <si>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</si>
  <si>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</si>
  <si>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</si>
  <si>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</si>
  <si>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</si>
  <si>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</si>
  <si>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</si>
  <si>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</si>
  <si>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</si>
  <si>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</si>
  <si>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</si>
  <si>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</si>
  <si>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</si>
  <si>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</si>
  <si>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</si>
  <si>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</si>
  <si>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</si>
  <si>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</si>
  <si>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</si>
  <si>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</si>
  <si>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</si>
  <si>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</si>
  <si>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</si>
  <si>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</si>
  <si>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</si>
  <si>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</si>
  <si>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</si>
  <si>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</si>
  <si>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</si>
  <si>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</si>
  <si>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</si>
  <si>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</si>
  <si>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</si>
  <si>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</si>
  <si>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</si>
  <si>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</si>
  <si>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</si>
  <si>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</si>
  <si>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</si>
  <si>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</si>
  <si>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</si>
  <si>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</si>
  <si>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</si>
  <si>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</si>
  <si>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</si>
  <si>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</si>
  <si>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</si>
  <si>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</si>
  <si>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</si>
  <si>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</si>
  <si>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</si>
  <si>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</si>
  <si>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</si>
  <si>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</si>
  <si>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</si>
  <si>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</si>
  <si>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</si>
  <si>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</si>
  <si>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</si>
  <si>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</si>
  <si>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</si>
  <si>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</si>
  <si>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</si>
  <si>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</si>
  <si>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</si>
  <si>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</si>
  <si>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</si>
  <si>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</si>
  <si>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</si>
  <si>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</si>
  <si>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</si>
  <si>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</si>
  <si>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</si>
  <si>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</si>
  <si>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</si>
  <si>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</si>
  <si>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</si>
  <si>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</si>
  <si>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</si>
  <si>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</si>
  <si>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</si>
  <si>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</si>
  <si>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</si>
  <si>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</si>
  <si>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</si>
  <si>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</si>
  <si>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</si>
  <si>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</si>
  <si>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</si>
  <si>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</si>
  <si>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</si>
  <si>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</si>
  <si>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</si>
  <si>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</si>
  <si>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</si>
  <si>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</si>
  <si>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</si>
  <si>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</si>
  <si>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</si>
  <si>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</si>
  <si>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</si>
  <si>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</si>
  <si>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</si>
  <si>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</si>
  <si>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</si>
  <si>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</si>
  <si>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</si>
  <si>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</si>
  <si>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</si>
  <si>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</si>
  <si>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</si>
  <si>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</si>
  <si>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</si>
  <si>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</si>
  <si>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</si>
  <si>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</si>
  <si>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</si>
  <si>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</si>
  <si>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</si>
  <si>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</si>
  <si>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</si>
  <si>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</si>
  <si>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</si>
  <si>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</si>
  <si>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</si>
  <si>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</si>
  <si>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</si>
  <si>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</si>
  <si>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</si>
  <si>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</si>
  <si>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</si>
  <si>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</si>
  <si>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</si>
  <si>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</si>
  <si>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</si>
  <si>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</si>
  <si>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</si>
  <si>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</si>
  <si>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</si>
  <si>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</si>
  <si>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</si>
  <si>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</si>
  <si>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</si>
  <si>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</si>
  <si>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</si>
  <si>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</si>
  <si>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</si>
  <si>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</si>
  <si>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</si>
  <si>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</si>
  <si>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</si>
  <si>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</si>
  <si>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</si>
  <si>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</si>
  <si>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</si>
  <si>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</si>
  <si>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</si>
  <si>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</si>
  <si>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</si>
  <si>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</si>
  <si>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</si>
  <si>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</si>
  <si>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</si>
  <si>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</si>
  <si>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</si>
  <si>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</si>
  <si>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</si>
  <si>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</si>
  <si>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</si>
  <si>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</si>
  <si>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</si>
  <si>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</si>
  <si>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</si>
  <si>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</si>
  <si>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</si>
  <si>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</si>
  <si>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</si>
  <si>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</si>
  <si>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</si>
  <si>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</si>
  <si>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</si>
  <si>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</si>
  <si>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</si>
  <si>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</si>
  <si>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</si>
  <si>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</si>
  <si>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</si>
  <si>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</si>
  <si>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</si>
  <si>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</si>
  <si>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</si>
  <si>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</si>
  <si>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</si>
  <si>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</si>
  <si>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</si>
  <si>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</si>
  <si>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</si>
  <si>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</si>
  <si>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</si>
  <si>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</si>
  <si>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</si>
  <si>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</si>
  <si>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</si>
  <si>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</si>
  <si>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</si>
  <si>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</si>
  <si>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</si>
  <si>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</si>
  <si>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</si>
  <si>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</si>
  <si>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</si>
  <si>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</si>
  <si>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</si>
  <si>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</si>
  <si>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</si>
  <si>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</si>
  <si>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</si>
  <si>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</si>
  <si>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</si>
  <si>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</si>
  <si>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</si>
  <si>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</si>
  <si>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</si>
  <si>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</si>
  <si>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</si>
  <si>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</si>
  <si>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</si>
  <si>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</si>
  <si>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</si>
  <si>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</si>
  <si>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</si>
  <si>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</si>
  <si>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</si>
  <si>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</si>
  <si>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</si>
  <si>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</si>
  <si>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</si>
  <si>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</si>
  <si>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</si>
  <si>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</si>
  <si>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</si>
  <si>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</si>
  <si>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</si>
  <si>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</si>
  <si>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</si>
  <si>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</si>
  <si>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</si>
  <si>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</si>
  <si>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</si>
  <si>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</si>
  <si>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</si>
  <si>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</si>
  <si>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</si>
  <si>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</si>
  <si>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</si>
  <si>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</si>
  <si>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</si>
  <si>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</si>
  <si>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</si>
  <si>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</si>
  <si>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</si>
  <si>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</si>
  <si>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</si>
  <si>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</si>
  <si>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</si>
  <si>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</si>
  <si>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</si>
  <si>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</si>
  <si>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</si>
  <si>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</si>
  <si>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</si>
  <si>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</si>
  <si>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</si>
  <si>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</si>
  <si>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</si>
  <si>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</si>
  <si>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</si>
  <si>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</si>
  <si>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</si>
  <si>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</si>
  <si>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</si>
  <si>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</si>
  <si>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</si>
  <si>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</si>
  <si>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</si>
  <si>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</si>
  <si>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</si>
  <si>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</si>
  <si>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</si>
  <si>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</si>
  <si>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</si>
  <si>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</si>
  <si>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</si>
  <si>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</si>
  <si>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</si>
  <si>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</si>
  <si>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</si>
  <si>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</si>
  <si>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</si>
  <si>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</si>
  <si>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</si>
  <si>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</si>
  <si>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</si>
  <si>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</si>
  <si>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</si>
  <si>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</si>
  <si>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</si>
  <si>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</si>
  <si>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</si>
  <si>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</si>
  <si>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</si>
  <si>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</si>
  <si>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</si>
  <si>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</si>
  <si>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</si>
  <si>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</si>
  <si>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</si>
  <si>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</si>
  <si>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</si>
  <si>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</si>
  <si>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</si>
  <si>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</si>
  <si>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</si>
  <si>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</si>
  <si>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</si>
  <si>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</si>
  <si>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</si>
  <si>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</si>
  <si>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</si>
  <si>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</si>
  <si>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</si>
  <si>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</si>
  <si>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</si>
  <si>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</si>
  <si>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</si>
  <si>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</si>
  <si>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</si>
  <si>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</si>
  <si>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</si>
  <si>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</si>
  <si>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</si>
  <si>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</si>
  <si>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</si>
  <si>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</si>
  <si>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</si>
  <si>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</si>
  <si>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</si>
  <si>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</si>
  <si>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</si>
  <si>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</si>
  <si>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</si>
  <si>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</si>
  <si>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</si>
  <si>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</si>
  <si>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</si>
  <si>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</si>
  <si>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</si>
  <si>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</si>
  <si>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</si>
  <si>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</si>
  <si>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</si>
  <si>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</si>
  <si>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</si>
  <si>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</si>
  <si>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</si>
  <si>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</si>
  <si>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</si>
  <si>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</si>
  <si>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</si>
  <si>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</si>
  <si>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</si>
  <si>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</si>
  <si>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</si>
  <si>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</si>
  <si>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</si>
  <si>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</si>
  <si>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</si>
  <si>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</si>
  <si>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</si>
  <si>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</si>
  <si>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</si>
  <si>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</si>
  <si>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</si>
  <si>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</si>
  <si>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</si>
  <si>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</si>
  <si>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</si>
  <si>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</si>
  <si>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</si>
  <si>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</si>
  <si>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</si>
  <si>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</si>
  <si>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</si>
  <si>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</si>
  <si>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</si>
  <si>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</si>
  <si>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</si>
  <si>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</si>
  <si>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</si>
  <si>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</si>
  <si>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</si>
  <si>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</si>
  <si>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</si>
  <si>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</si>
  <si>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</si>
  <si>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</si>
  <si>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</si>
  <si>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</si>
  <si>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</si>
  <si>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</si>
  <si>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</si>
  <si>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</si>
  <si>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</si>
  <si>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</si>
  <si>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</si>
  <si>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</si>
  <si>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</si>
  <si>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</si>
  <si>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</si>
  <si>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</si>
  <si>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</si>
  <si>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</si>
  <si>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</si>
  <si>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</si>
  <si>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</si>
  <si>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</si>
  <si>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</si>
  <si>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</si>
  <si>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</si>
  <si>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</si>
  <si>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</si>
  <si>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</si>
  <si>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</si>
  <si>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</si>
  <si>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</si>
  <si>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</si>
  <si>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</si>
  <si>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</si>
  <si>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</si>
  <si>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</si>
  <si>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</si>
  <si>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</si>
  <si>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</si>
  <si>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</si>
  <si>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</si>
  <si>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</si>
  <si>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</si>
  <si>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</si>
  <si>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</si>
  <si>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</si>
  <si>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</si>
  <si>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</si>
  <si>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</si>
  <si>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</si>
  <si>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</si>
  <si>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</si>
  <si>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</si>
  <si>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</si>
  <si>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</si>
  <si>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</si>
  <si>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</si>
  <si>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</si>
  <si>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</si>
  <si>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</si>
  <si>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</si>
  <si>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</si>
  <si>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</si>
  <si>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</si>
  <si>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</si>
  <si>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</si>
  <si>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</si>
  <si>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</si>
  <si>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</si>
  <si>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</si>
  <si>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</si>
  <si>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</si>
  <si>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</si>
  <si>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</si>
  <si>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</si>
  <si>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</si>
  <si>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</si>
  <si>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</si>
  <si>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</si>
  <si>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</si>
  <si>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</si>
  <si>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</si>
  <si>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</si>
  <si>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</si>
  <si>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</si>
  <si>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</si>
  <si>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</si>
  <si>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</si>
  <si>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</si>
  <si>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</si>
  <si>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</si>
  <si>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</si>
  <si>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</si>
  <si>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</si>
  <si>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</si>
  <si>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</si>
  <si>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</si>
  <si>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</si>
  <si>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</si>
  <si>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</si>
  <si>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</si>
  <si>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</si>
  <si>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</si>
  <si>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</si>
  <si>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</si>
  <si>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</si>
  <si>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</si>
  <si>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</si>
  <si>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</si>
  <si>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</si>
  <si>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</si>
  <si>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</si>
  <si>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</si>
  <si>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</si>
  <si>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</si>
  <si>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</si>
  <si>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</si>
  <si>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</si>
  <si>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</si>
  <si>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</si>
  <si>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</si>
  <si>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</si>
  <si>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</si>
  <si>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</si>
  <si>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</si>
  <si>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</si>
  <si>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</si>
  <si>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</si>
  <si>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</si>
  <si>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</si>
  <si>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</si>
  <si>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</si>
  <si>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</si>
  <si>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</si>
  <si>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</si>
  <si>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</si>
  <si>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</si>
  <si>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</si>
  <si>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</si>
  <si>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</si>
  <si>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</si>
  <si>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</si>
  <si>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</si>
  <si>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</si>
  <si>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</si>
  <si>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</si>
  <si>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</si>
  <si>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</si>
  <si>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</si>
  <si>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</si>
  <si>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</si>
  <si>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</si>
  <si>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</si>
  <si>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</si>
  <si>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</si>
  <si>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</si>
  <si>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</si>
  <si>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</si>
  <si>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</si>
  <si>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</si>
  <si>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</si>
  <si>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</si>
  <si>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</si>
  <si>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</si>
  <si>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</si>
  <si>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</si>
  <si>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</si>
  <si>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</si>
  <si>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</si>
  <si>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</si>
  <si>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</si>
  <si>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</si>
  <si>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</si>
  <si>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</si>
  <si>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</si>
  <si>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</si>
  <si>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</si>
  <si>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</si>
  <si>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</si>
  <si>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</si>
  <si>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</si>
  <si>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</si>
  <si>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</si>
  <si>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</si>
  <si>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</si>
  <si>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</si>
  <si>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</si>
  <si>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</si>
  <si>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</si>
  <si>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</si>
  <si>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</si>
  <si>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</si>
  <si>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</si>
  <si>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</si>
  <si>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</si>
  <si>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</si>
  <si>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</si>
  <si>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</si>
  <si>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</si>
  <si>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</si>
  <si>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</si>
  <si>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</si>
  <si>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</si>
  <si>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</si>
  <si>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</si>
  <si>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</si>
  <si>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</si>
  <si>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</si>
  <si>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</si>
  <si>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</si>
  <si>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</si>
  <si>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</si>
  <si>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</si>
  <si>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</si>
  <si>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</si>
  <si>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</si>
  <si>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</si>
  <si>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</si>
  <si>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</si>
  <si>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</si>
  <si>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</si>
  <si>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</si>
  <si>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</si>
  <si>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</si>
  <si>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</si>
  <si>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</si>
  <si>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</si>
  <si>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</si>
  <si>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</si>
  <si>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</si>
  <si>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</si>
  <si>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</si>
  <si>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</si>
  <si>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</si>
  <si>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</si>
  <si>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</si>
  <si>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</si>
  <si>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</si>
  <si>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</si>
  <si>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</si>
  <si>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</si>
  <si>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</si>
  <si>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</si>
  <si>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</si>
  <si>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</si>
  <si>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</si>
  <si>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</si>
  <si>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</si>
  <si>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</si>
  <si>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</si>
  <si>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</si>
  <si>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</si>
  <si>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</si>
  <si>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</si>
  <si>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</si>
  <si>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</si>
  <si>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</si>
  <si>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</si>
  <si>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</si>
  <si>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</si>
  <si>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</si>
  <si>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</si>
  <si>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</si>
  <si>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</si>
  <si>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</si>
  <si>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</si>
  <si>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</si>
  <si>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</si>
  <si>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</si>
  <si>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</si>
  <si>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</si>
  <si>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</si>
  <si>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</si>
  <si>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</si>
  <si>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</si>
  <si>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</si>
  <si>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</si>
  <si>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</si>
  <si>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</si>
  <si>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</si>
  <si>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</si>
  <si>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</si>
  <si>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</si>
  <si>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</si>
  <si>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</si>
  <si>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</si>
  <si>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</si>
  <si>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</si>
  <si>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</si>
  <si>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</si>
  <si>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</si>
  <si>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</si>
  <si>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</si>
  <si>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</si>
  <si>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</si>
  <si>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</si>
  <si>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</si>
  <si>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</si>
  <si>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</si>
  <si>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</si>
  <si>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</si>
  <si>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</si>
  <si>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</si>
  <si>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</si>
  <si>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</si>
  <si>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</si>
  <si>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</si>
  <si>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</si>
  <si>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</si>
  <si>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</si>
  <si>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</si>
  <si>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</si>
  <si>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</si>
  <si>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</si>
  <si>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</si>
  <si>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</si>
  <si>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</si>
  <si>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</si>
  <si>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</si>
  <si>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</si>
  <si>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</si>
  <si>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</si>
  <si>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</si>
  <si>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</si>
  <si>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</si>
  <si>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</si>
  <si>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</si>
  <si>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</si>
  <si>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</si>
  <si>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</si>
  <si>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</si>
  <si>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</si>
  <si>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</si>
  <si>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</si>
  <si>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MRK Partners, Inc.</t>
  </si>
  <si>
    <t>Market Two</t>
  </si>
  <si>
    <t>Sydne Garchik</t>
  </si>
  <si>
    <t>20th</t>
  </si>
  <si>
    <t>May</t>
  </si>
  <si>
    <t>545-130-56-00</t>
  </si>
  <si>
    <t>40%/60% Average Income</t>
  </si>
  <si>
    <t>Inner City Infill Site</t>
  </si>
  <si>
    <t>Jennifer Kreutter</t>
  </si>
  <si>
    <t>1122 Broadway, Suite 300</t>
  </si>
  <si>
    <t>San Diego Housing Commission</t>
  </si>
  <si>
    <t>(619) 578-7569</t>
  </si>
  <si>
    <t>(619) 578-7365</t>
  </si>
  <si>
    <t>JenniferK@sdhc.org</t>
  </si>
  <si>
    <t>Principal of Applicant</t>
  </si>
  <si>
    <t>3275-3295 Market St</t>
  </si>
  <si>
    <t>2711 N. Sepulveda Blvd # 526</t>
  </si>
  <si>
    <t>Manhattan Beach</t>
  </si>
  <si>
    <t>CA</t>
  </si>
  <si>
    <t>424.999.4581 </t>
  </si>
  <si>
    <t>sgarchik@mrkpartners.com</t>
  </si>
  <si>
    <t>Administrative GP</t>
  </si>
  <si>
    <t xml:space="preserve">Manhattan Beach </t>
  </si>
  <si>
    <t xml:space="preserve">MRK Partners, Inc. </t>
  </si>
  <si>
    <t>Pacific Southwest Community Development Corporation, a California nonprofit public benefit corporation</t>
  </si>
  <si>
    <t>Managing GP</t>
  </si>
  <si>
    <t>16935 West Bernardo Drive, Ste. 238</t>
  </si>
  <si>
    <t>Robert Laing</t>
  </si>
  <si>
    <t>858-675-0506</t>
  </si>
  <si>
    <t>robertlaing@pswcdc.org</t>
  </si>
  <si>
    <t>Market 2 AGP LLC</t>
  </si>
  <si>
    <t>5230 Pacific Concourse Drive, Suite 350</t>
  </si>
  <si>
    <t>(843) 992-3051</t>
  </si>
  <si>
    <t>Daniel Sechtin</t>
  </si>
  <si>
    <t>dsechtin@mrkpartners.com </t>
  </si>
  <si>
    <t>Acquisitions Associate</t>
  </si>
  <si>
    <t>Los Angeles, CA 90045</t>
  </si>
  <si>
    <t>424.999.4581</t>
  </si>
  <si>
    <t>Downs Pham &amp; Kuei LLP</t>
  </si>
  <si>
    <t>235 Montgomery Street, Suite 1169</t>
  </si>
  <si>
    <t>San Francisco, CA 94104</t>
  </si>
  <si>
    <t>Irene Kuei</t>
  </si>
  <si>
    <t>415.202.6376</t>
  </si>
  <si>
    <t>ikuei@dowspham.com</t>
  </si>
  <si>
    <t>Rubin Brown LLP</t>
  </si>
  <si>
    <t>225 West Wacker Drive, Suite 1700</t>
  </si>
  <si>
    <t>Chicago, IL 60606</t>
  </si>
  <si>
    <t>Janet Manzella</t>
  </si>
  <si>
    <t>312.705.1736</t>
  </si>
  <si>
    <t>janet.manzella@rubinbrown.com</t>
  </si>
  <si>
    <t>Collective Operations Architecture, Inc.</t>
  </si>
  <si>
    <t>2106 Union St</t>
  </si>
  <si>
    <t>San Francisco, CA 94123</t>
  </si>
  <si>
    <t>Weijia Song</t>
  </si>
  <si>
    <t>628.294.4262</t>
  </si>
  <si>
    <t>wsong@co-operations.org</t>
  </si>
  <si>
    <t>WinnResidential California LP</t>
  </si>
  <si>
    <t>2499 W. Shaw Avenue, Suite 103</t>
  </si>
  <si>
    <t>Fresno, CA 93711</t>
  </si>
  <si>
    <t>Oke Johnson</t>
  </si>
  <si>
    <t>559.489.9930</t>
  </si>
  <si>
    <t>okejohnson@winnco.com</t>
  </si>
  <si>
    <t>R4 Capital</t>
  </si>
  <si>
    <t>780 Third Avenue, 16th Floor</t>
  </si>
  <si>
    <t>New York, NY 10017</t>
  </si>
  <si>
    <t>Paul Connolly</t>
  </si>
  <si>
    <t>646-576-7660</t>
  </si>
  <si>
    <t>PConnolly@r4cap.com</t>
  </si>
  <si>
    <t>TBD</t>
  </si>
  <si>
    <t>CBRE</t>
  </si>
  <si>
    <t>400 S. Hope St. Ste. 2500</t>
  </si>
  <si>
    <t>Los Angeles, CA 90071</t>
  </si>
  <si>
    <t>Peter An, MAI</t>
  </si>
  <si>
    <t>949.809.3603</t>
  </si>
  <si>
    <t>peter.an@cbre.com</t>
  </si>
  <si>
    <t>Multiple Use</t>
  </si>
  <si>
    <t>Complete Communities Housing Solutions (CCHS) Now Program</t>
  </si>
  <si>
    <t>CC-3-6 Commercial Community; 44 units/acre</t>
  </si>
  <si>
    <t>CC-3-6 Commercial Community; 6.5 FAR</t>
  </si>
  <si>
    <t>Citibank-Conduit (Tax-Exempt New)</t>
  </si>
  <si>
    <t>Citibank-Conduit (TE Recycled)</t>
  </si>
  <si>
    <t>Citibank-Conduit (Taxable)</t>
  </si>
  <si>
    <t>Variable</t>
  </si>
  <si>
    <t>R4 Capital - Tax Credit Equity</t>
  </si>
  <si>
    <t>Lease Up Income</t>
  </si>
  <si>
    <t>Costs Deferred to Conversion</t>
  </si>
  <si>
    <t>325 E Hillcrest Dr, #160</t>
  </si>
  <si>
    <t>Thousand Oaks, CA 91360</t>
  </si>
  <si>
    <t>Michael Hemmens</t>
  </si>
  <si>
    <t>805-557-0933</t>
  </si>
  <si>
    <t>Tax Exempt bonds (new issue)</t>
  </si>
  <si>
    <t>SOFR</t>
  </si>
  <si>
    <t>Tax Exempt bonds (recycled)</t>
  </si>
  <si>
    <t>Taxable Tail</t>
  </si>
  <si>
    <t>LIHTC Equity</t>
  </si>
  <si>
    <t>Manhattan Beach, CA 90266</t>
  </si>
  <si>
    <t>Lease Up Income after Completion</t>
  </si>
  <si>
    <t>Costs Deferral</t>
  </si>
  <si>
    <t>Citibank Tax-Exempt Permanent Loan</t>
  </si>
  <si>
    <t>Permanent Loan - Tax Exempt Bonds</t>
  </si>
  <si>
    <t>Damages, Late, Termination, Application, Pet Fees</t>
  </si>
  <si>
    <t>Fire Life Safety</t>
  </si>
  <si>
    <t>Staff Unit Rent Credit</t>
  </si>
  <si>
    <t>Employee Benefits</t>
  </si>
  <si>
    <t>Office Supply Contracts</t>
  </si>
  <si>
    <t>Licenses/Fees</t>
  </si>
  <si>
    <t>Operating Subsidy (N/A)</t>
  </si>
  <si>
    <t>Employee Benefits, Licenses + Fees</t>
  </si>
  <si>
    <t>Impact Housing</t>
  </si>
  <si>
    <t>John Kaliski, FAIA, NCARB</t>
  </si>
  <si>
    <t>350 S Grand Ave, Suite 3050</t>
  </si>
  <si>
    <t>(213) 383-7980</t>
  </si>
  <si>
    <t>jkaliski@ihousing.us</t>
  </si>
  <si>
    <t>California Housing Finance Agency</t>
  </si>
  <si>
    <t>500 Capitol Mall, Ste 1400</t>
  </si>
  <si>
    <t>Sacramento, CA 95814</t>
  </si>
  <si>
    <t>B.P. INVESTMENTS, a California general partnership</t>
  </si>
  <si>
    <t>Robert Poggioli</t>
  </si>
  <si>
    <t>Partner</t>
  </si>
  <si>
    <t>The main building is serviced by two elevators, the smaller building is not elevator serviced.</t>
  </si>
  <si>
    <t>75 feet; 6.5 FAR</t>
  </si>
  <si>
    <t>Provided</t>
  </si>
  <si>
    <t>Not Applicable</t>
  </si>
  <si>
    <t>Need to Provide</t>
  </si>
  <si>
    <t>Other: Real Estate Taxes During Construction</t>
  </si>
  <si>
    <t>Other: Utilities During Construction</t>
  </si>
  <si>
    <t>Other: Bond Counsel</t>
  </si>
  <si>
    <t>Other: Cost of Issuance Contingency</t>
  </si>
  <si>
    <t>Other: Ground Lease Monitoring Fee</t>
  </si>
  <si>
    <t>Above residual receipts line for cash flow</t>
  </si>
  <si>
    <t>Nonprofit MGP Fee</t>
  </si>
  <si>
    <t>Below residual receipts line for cash flow</t>
  </si>
  <si>
    <t>Madina Castro</t>
  </si>
  <si>
    <t>(916) 326-8628</t>
  </si>
  <si>
    <t>MCastro@calhfa.ca.gov</t>
  </si>
  <si>
    <t>Safehold, Inc.</t>
  </si>
  <si>
    <t>Secured by Leasehold Interest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</si>
</sst>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 numFmtId="186" formatCode="0.00000"/>
  </numFmts>
  <fonts count="18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17184">
    <xf numFmtId="0" fontId="0" fillId="0" borderId="0"/>
    <xf numFmtId="0" fontId="85" fillId="11"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85" fillId="12" borderId="0" applyNumberFormat="0" applyBorder="0" applyAlignment="0" applyProtection="0"/>
    <xf numFmtId="0" fontId="85" fillId="12" borderId="0" applyNumberFormat="0" applyBorder="0" applyAlignment="0" applyProtection="0"/>
    <xf numFmtId="0" fontId="85" fillId="12" borderId="0" applyNumberFormat="0" applyBorder="0" applyAlignment="0" applyProtection="0"/>
    <xf numFmtId="0" fontId="85" fillId="12" borderId="0" applyNumberFormat="0" applyBorder="0" applyAlignment="0" applyProtection="0"/>
    <xf numFmtId="0" fontId="85" fillId="12" borderId="0" applyNumberFormat="0" applyBorder="0" applyAlignment="0" applyProtection="0"/>
    <xf numFmtId="0" fontId="85" fillId="12" borderId="0" applyNumberFormat="0" applyBorder="0" applyAlignment="0" applyProtection="0"/>
    <xf numFmtId="0" fontId="85" fillId="12" borderId="0" applyNumberFormat="0" applyBorder="0" applyAlignment="0" applyProtection="0"/>
    <xf numFmtId="0" fontId="85" fillId="12"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8" fillId="36" borderId="18" applyNumberFormat="0" applyAlignment="0" applyProtection="0"/>
    <xf numFmtId="0" fontId="88" fillId="36" borderId="18" applyNumberFormat="0" applyAlignment="0" applyProtection="0"/>
    <xf numFmtId="0" fontId="89" fillId="37" borderId="19" applyNumberFormat="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7"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1" fillId="0" borderId="0" applyFont="0" applyFill="0" applyBorder="0" applyAlignment="0" applyProtection="0"/>
    <xf numFmtId="43" fontId="26" fillId="0" borderId="0" applyFont="0" applyFill="0" applyBorder="0" applyAlignment="0" applyProtection="0"/>
    <xf numFmtId="43" fontId="61" fillId="0" borderId="0" applyFont="0" applyFill="0" applyBorder="0" applyAlignment="0" applyProtection="0"/>
    <xf numFmtId="44" fontId="78"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61" fillId="0" borderId="0" applyFont="0" applyFill="0" applyBorder="0" applyAlignment="0" applyProtection="0"/>
    <xf numFmtId="44" fontId="78" fillId="0" borderId="0" applyFont="0" applyFill="0" applyBorder="0" applyAlignment="0" applyProtection="0"/>
    <xf numFmtId="44" fontId="26" fillId="0" borderId="0" applyFont="0" applyFill="0" applyBorder="0" applyAlignment="0" applyProtection="0"/>
    <xf numFmtId="44" fontId="80" fillId="0" borderId="0" applyFont="0" applyFill="0" applyBorder="0" applyAlignment="0" applyProtection="0"/>
    <xf numFmtId="44" fontId="26" fillId="0" borderId="0" applyFont="0" applyFill="0" applyBorder="0" applyAlignment="0" applyProtection="0"/>
    <xf numFmtId="44" fontId="61" fillId="0" borderId="0" applyFont="0" applyFill="0" applyBorder="0" applyAlignment="0" applyProtection="0">
      <alignment vertical="top"/>
    </xf>
    <xf numFmtId="44" fontId="61" fillId="0" borderId="0" applyFont="0" applyFill="0" applyBorder="0" applyAlignment="0" applyProtection="0">
      <alignment vertical="top"/>
    </xf>
    <xf numFmtId="44" fontId="26" fillId="0" borderId="0" applyFont="0" applyFill="0" applyBorder="0" applyAlignment="0" applyProtection="0"/>
    <xf numFmtId="44" fontId="61" fillId="0" borderId="0" applyFont="0" applyFill="0" applyBorder="0" applyAlignment="0" applyProtection="0">
      <alignment vertical="top"/>
    </xf>
    <xf numFmtId="44" fontId="61" fillId="0" borderId="0" applyFont="0" applyFill="0" applyBorder="0" applyAlignment="0" applyProtection="0"/>
    <xf numFmtId="44" fontId="77"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1" fillId="0" borderId="0" applyFont="0" applyFill="0" applyBorder="0" applyAlignment="0" applyProtection="0"/>
    <xf numFmtId="44" fontId="70"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61" fillId="0" borderId="0" applyFont="0" applyFill="0" applyBorder="0" applyAlignment="0" applyProtection="0"/>
    <xf numFmtId="44" fontId="26" fillId="0" borderId="0" applyFont="0" applyFill="0" applyBorder="0" applyAlignment="0" applyProtection="0"/>
    <xf numFmtId="44" fontId="71" fillId="0" borderId="0" applyFont="0" applyFill="0" applyBorder="0" applyAlignment="0" applyProtection="0"/>
    <xf numFmtId="44" fontId="26" fillId="0" borderId="0" applyFont="0" applyFill="0" applyBorder="0" applyAlignment="0" applyProtection="0"/>
    <xf numFmtId="44" fontId="77"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26"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7"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26"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26" fillId="0" borderId="0" applyFont="0" applyFill="0" applyBorder="0" applyAlignment="0" applyProtection="0"/>
    <xf numFmtId="44" fontId="61" fillId="0" borderId="0" applyFont="0" applyFill="0" applyBorder="0" applyAlignment="0" applyProtection="0"/>
    <xf numFmtId="44" fontId="26" fillId="0" borderId="0" applyFont="0" applyFill="0" applyBorder="0" applyAlignment="0" applyProtection="0"/>
    <xf numFmtId="44" fontId="72"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76" fillId="0" borderId="0" applyFont="0" applyFill="0" applyBorder="0" applyAlignment="0" applyProtection="0"/>
    <xf numFmtId="44" fontId="26" fillId="0" borderId="0" applyFont="0" applyFill="0" applyBorder="0" applyAlignment="0" applyProtection="0"/>
    <xf numFmtId="0" fontId="90" fillId="0" borderId="0" applyNumberFormat="0" applyFill="0" applyBorder="0" applyAlignment="0" applyProtection="0"/>
    <xf numFmtId="0" fontId="91" fillId="38" borderId="0" applyNumberFormat="0" applyBorder="0" applyAlignment="0" applyProtection="0"/>
    <xf numFmtId="0" fontId="92" fillId="0" borderId="20" applyNumberFormat="0" applyFill="0" applyAlignment="0" applyProtection="0"/>
    <xf numFmtId="0" fontId="92" fillId="0" borderId="20" applyNumberFormat="0" applyFill="0" applyAlignment="0" applyProtection="0"/>
    <xf numFmtId="0" fontId="93" fillId="0" borderId="21" applyNumberFormat="0" applyFill="0" applyAlignment="0" applyProtection="0"/>
    <xf numFmtId="0" fontId="93" fillId="0" borderId="21" applyNumberFormat="0" applyFill="0" applyAlignment="0" applyProtection="0"/>
    <xf numFmtId="0" fontId="94" fillId="0" borderId="22" applyNumberFormat="0" applyFill="0" applyAlignment="0" applyProtection="0"/>
    <xf numFmtId="0" fontId="94" fillId="0" borderId="22"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82" fillId="0" borderId="0" applyNumberFormat="0" applyFill="0" applyBorder="0" applyAlignment="0" applyProtection="0">
      <alignment vertical="top"/>
      <protection locked="0"/>
    </xf>
    <xf numFmtId="0" fontId="95" fillId="39" borderId="18" applyNumberFormat="0" applyAlignment="0" applyProtection="0"/>
    <xf numFmtId="0" fontId="19" fillId="0" borderId="0" applyNumberFormat="0" applyBorder="0"/>
    <xf numFmtId="0" fontId="20" fillId="0" borderId="0" applyBorder="0" applyAlignment="0"/>
    <xf numFmtId="0" fontId="21" fillId="0" borderId="0" applyFill="0" applyBorder="0" applyAlignment="0"/>
    <xf numFmtId="0" fontId="96" fillId="0" borderId="23" applyNumberFormat="0" applyFill="0" applyAlignment="0" applyProtection="0"/>
    <xf numFmtId="0" fontId="97" fillId="40" borderId="0" applyNumberFormat="0" applyBorder="0" applyAlignment="0" applyProtection="0"/>
    <xf numFmtId="0" fontId="98" fillId="0" borderId="0"/>
    <xf numFmtId="0" fontId="61" fillId="0" borderId="0"/>
    <xf numFmtId="0" fontId="98" fillId="0" borderId="0"/>
    <xf numFmtId="0" fontId="61" fillId="0" borderId="0"/>
    <xf numFmtId="0" fontId="61" fillId="0" borderId="0"/>
    <xf numFmtId="0" fontId="26"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1" fillId="0" borderId="0"/>
    <xf numFmtId="169" fontId="62" fillId="0" borderId="0"/>
    <xf numFmtId="0" fontId="85" fillId="0" borderId="0"/>
    <xf numFmtId="0" fontId="26" fillId="0" borderId="0"/>
    <xf numFmtId="0" fontId="26" fillId="0" borderId="0"/>
    <xf numFmtId="0" fontId="67" fillId="0" borderId="0"/>
    <xf numFmtId="0" fontId="61" fillId="0" borderId="0"/>
    <xf numFmtId="0" fontId="67" fillId="0" borderId="0"/>
    <xf numFmtId="0" fontId="61" fillId="0" borderId="0"/>
    <xf numFmtId="0" fontId="73" fillId="0" borderId="0"/>
    <xf numFmtId="0" fontId="61" fillId="0" borderId="0"/>
    <xf numFmtId="0" fontId="85" fillId="0" borderId="0"/>
    <xf numFmtId="0" fontId="61"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3" fillId="0" borderId="0"/>
    <xf numFmtId="0" fontId="85" fillId="0" borderId="0"/>
    <xf numFmtId="0" fontId="85" fillId="0" borderId="0"/>
    <xf numFmtId="0" fontId="85" fillId="0" borderId="0"/>
    <xf numFmtId="0" fontId="85" fillId="0" borderId="0"/>
    <xf numFmtId="0" fontId="61"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1" fillId="0" borderId="0"/>
    <xf numFmtId="0" fontId="85" fillId="0" borderId="0"/>
    <xf numFmtId="0" fontId="85" fillId="0" borderId="0"/>
    <xf numFmtId="0" fontId="85" fillId="0" borderId="0"/>
    <xf numFmtId="0" fontId="85" fillId="0" borderId="0"/>
    <xf numFmtId="0" fontId="73" fillId="0" borderId="0"/>
    <xf numFmtId="0" fontId="61" fillId="0" borderId="0">
      <alignment vertical="top"/>
    </xf>
    <xf numFmtId="0" fontId="85" fillId="0" borderId="0"/>
    <xf numFmtId="0" fontId="85" fillId="0" borderId="0"/>
    <xf numFmtId="0" fontId="85" fillId="0" borderId="0"/>
    <xf numFmtId="0" fontId="85" fillId="0" borderId="0"/>
    <xf numFmtId="0" fontId="73" fillId="0" borderId="0"/>
    <xf numFmtId="0" fontId="26" fillId="0" borderId="0"/>
    <xf numFmtId="0" fontId="85" fillId="0" borderId="0"/>
    <xf numFmtId="0" fontId="26" fillId="0" borderId="0"/>
    <xf numFmtId="0" fontId="85" fillId="0" borderId="0"/>
    <xf numFmtId="0" fontId="85" fillId="0" borderId="0"/>
    <xf numFmtId="0" fontId="85" fillId="0" borderId="0"/>
    <xf numFmtId="0" fontId="85" fillId="0" borderId="0"/>
    <xf numFmtId="0" fontId="67" fillId="0" borderId="0"/>
    <xf numFmtId="0" fontId="61" fillId="0" borderId="0">
      <alignment vertical="top"/>
    </xf>
    <xf numFmtId="0" fontId="67" fillId="0" borderId="0"/>
    <xf numFmtId="0" fontId="61" fillId="0" borderId="0">
      <alignment vertical="top"/>
    </xf>
    <xf numFmtId="0" fontId="61" fillId="0" borderId="0">
      <alignment vertical="top"/>
    </xf>
    <xf numFmtId="0" fontId="85" fillId="0" borderId="0"/>
    <xf numFmtId="0" fontId="67" fillId="0" borderId="0"/>
    <xf numFmtId="0" fontId="85" fillId="0" borderId="0"/>
    <xf numFmtId="0" fontId="61"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7"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6" fillId="0" borderId="0"/>
    <xf numFmtId="0" fontId="61" fillId="0" borderId="0">
      <alignment vertical="top"/>
    </xf>
    <xf numFmtId="0" fontId="85" fillId="0" borderId="0"/>
    <xf numFmtId="0" fontId="85" fillId="0" borderId="0"/>
    <xf numFmtId="0" fontId="85" fillId="0" borderId="0"/>
    <xf numFmtId="0" fontId="85" fillId="0" borderId="0"/>
    <xf numFmtId="0" fontId="26"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7"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6"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1" fillId="0" borderId="0"/>
    <xf numFmtId="0" fontId="61" fillId="0" borderId="0">
      <alignment vertical="top"/>
    </xf>
    <xf numFmtId="0" fontId="61" fillId="0" borderId="0">
      <alignment vertical="top"/>
    </xf>
    <xf numFmtId="0" fontId="61" fillId="0" borderId="0"/>
    <xf numFmtId="0" fontId="61" fillId="0" borderId="0">
      <alignment vertical="top"/>
    </xf>
    <xf numFmtId="0" fontId="61" fillId="0" borderId="0"/>
    <xf numFmtId="0" fontId="61"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6"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6" fillId="0" borderId="0"/>
    <xf numFmtId="0" fontId="85" fillId="0" borderId="0"/>
    <xf numFmtId="0" fontId="85" fillId="0" borderId="0"/>
    <xf numFmtId="0" fontId="85" fillId="0" borderId="0"/>
    <xf numFmtId="0" fontId="17" fillId="0" borderId="0" applyProtection="0">
      <protection locked="0"/>
    </xf>
    <xf numFmtId="0" fontId="26" fillId="0" borderId="0" applyProtection="0">
      <protection locked="0"/>
    </xf>
    <xf numFmtId="0" fontId="26" fillId="0" borderId="0" applyProtection="0">
      <protection locked="0"/>
    </xf>
    <xf numFmtId="0" fontId="62" fillId="0" borderId="0"/>
    <xf numFmtId="0" fontId="17" fillId="0" borderId="0"/>
    <xf numFmtId="0" fontId="77"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77"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100" fillId="36" borderId="25" applyNumberFormat="0" applyAlignment="0" applyProtection="0"/>
    <xf numFmtId="0" fontId="100" fillId="36" borderId="25" applyNumberFormat="0" applyAlignment="0" applyProtection="0"/>
    <xf numFmtId="0" fontId="22" fillId="0" borderId="0" applyNumberFormat="0" applyFill="0" applyBorder="0">
      <alignment horizontal="left"/>
    </xf>
    <xf numFmtId="0" fontId="101" fillId="0" borderId="0" applyNumberFormat="0" applyFill="0" applyBorder="0" applyAlignment="0" applyProtection="0"/>
    <xf numFmtId="0" fontId="102" fillId="0" borderId="26" applyNumberFormat="0" applyFill="0" applyAlignment="0" applyProtection="0"/>
    <xf numFmtId="0" fontId="102" fillId="0" borderId="26" applyNumberFormat="0" applyFill="0" applyAlignment="0" applyProtection="0"/>
    <xf numFmtId="0" fontId="103" fillId="0" borderId="0" applyNumberFormat="0" applyFill="0" applyBorder="0" applyAlignment="0" applyProtection="0"/>
    <xf numFmtId="0" fontId="17" fillId="0" borderId="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6"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6" fillId="0" borderId="0"/>
    <xf numFmtId="0" fontId="16" fillId="0" borderId="0"/>
    <xf numFmtId="0" fontId="16" fillId="0" borderId="0"/>
    <xf numFmtId="0" fontId="16"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6" fillId="0" borderId="0"/>
    <xf numFmtId="0" fontId="16" fillId="0" borderId="0"/>
    <xf numFmtId="0" fontId="16" fillId="0" borderId="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9" fontId="17" fillId="0" borderId="0" applyFont="0" applyFill="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8"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110"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111" fillId="0" borderId="0" applyNumberForma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01" fillId="0" borderId="0" applyNumberFormat="0" applyFill="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44" fontId="17" fillId="0" borderId="0" applyFont="0" applyFill="0" applyBorder="0" applyAlignment="0" applyProtection="0"/>
    <xf numFmtId="9" fontId="120" fillId="0" borderId="0" applyFont="0" applyFill="0" applyBorder="0" applyAlignment="0" applyProtection="0"/>
    <xf numFmtId="0" fontId="120" fillId="0" borderId="0"/>
    <xf numFmtId="0" fontId="11" fillId="0" borderId="0"/>
    <xf numFmtId="0" fontId="17" fillId="0" borderId="0"/>
    <xf numFmtId="43" fontId="11" fillId="0" borderId="0" applyFont="0" applyFill="0" applyBorder="0" applyAlignment="0" applyProtection="0"/>
    <xf numFmtId="9" fontId="11" fillId="0" borderId="0" applyFont="0" applyFill="0" applyBorder="0" applyAlignment="0" applyProtection="0"/>
    <xf numFmtId="0" fontId="10" fillId="0" borderId="0"/>
    <xf numFmtId="44" fontId="10" fillId="0" borderId="0" applyFont="0" applyFill="0" applyBorder="0" applyAlignment="0" applyProtection="0"/>
    <xf numFmtId="9" fontId="10" fillId="0" borderId="0" applyFont="0" applyFill="0" applyBorder="0" applyAlignment="0" applyProtection="0"/>
    <xf numFmtId="43" fontId="148" fillId="0" borderId="0" applyFont="0" applyFill="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0" borderId="0"/>
    <xf numFmtId="44" fontId="8" fillId="0" borderId="0" applyFont="0" applyFill="0" applyBorder="0" applyAlignment="0" applyProtection="0"/>
    <xf numFmtId="9" fontId="8" fillId="0" borderId="0" applyFont="0" applyFill="0" applyBorder="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44" fontId="150"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0" fontId="3" fillId="0" borderId="0"/>
    <xf numFmtId="0" fontId="17" fillId="0" borderId="0" applyBorder="0"/>
    <xf numFmtId="44" fontId="3" fillId="0" borderId="0" applyFont="0" applyFill="0" applyBorder="0" applyAlignment="0" applyProtection="0"/>
    <xf numFmtId="9" fontId="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7"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0">
    <xf numFmtId="0" fontId="0" fillId="0" borderId="0" xfId="0"/>
    <xf numFmtId="0" fontId="0" fillId="0" borderId="0" xfId="0" applyAlignment="1">
      <alignment horizontal="center"/>
    </xf>
    <xf numFmtId="0" fontId="24" fillId="0" borderId="0" xfId="0" applyFont="1"/>
    <xf numFmtId="0" fontId="17" fillId="0" borderId="0" xfId="0" applyFont="1"/>
    <xf numFmtId="0" fontId="26" fillId="0" borderId="0" xfId="0" applyFont="1"/>
    <xf numFmtId="0" fontId="0" fillId="0" borderId="4" xfId="0" applyBorder="1"/>
    <xf numFmtId="0" fontId="26" fillId="0" borderId="0" xfId="0" applyFont="1" applyAlignment="1">
      <alignment horizontal="center"/>
    </xf>
    <xf numFmtId="0" fontId="17"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4" fillId="0" borderId="4" xfId="0" applyFont="1" applyBorder="1"/>
    <xf numFmtId="164" fontId="0" fillId="0" borderId="0" xfId="0" applyNumberFormat="1" applyAlignment="1">
      <alignment horizontal="right"/>
    </xf>
    <xf numFmtId="0" fontId="24" fillId="0" borderId="0" xfId="0" applyFont="1" applyAlignment="1">
      <alignment horizontal="center"/>
    </xf>
    <xf numFmtId="0" fontId="17" fillId="0" borderId="0" xfId="543"/>
    <xf numFmtId="0" fontId="26" fillId="0" borderId="0" xfId="0" applyFont="1" applyAlignment="1">
      <alignment horizontal="left" vertical="top" wrapText="1"/>
    </xf>
    <xf numFmtId="0" fontId="32" fillId="0" borderId="0" xfId="0" applyFont="1"/>
    <xf numFmtId="0" fontId="25" fillId="0" borderId="0" xfId="0" applyFont="1" applyAlignment="1">
      <alignment vertical="top"/>
    </xf>
    <xf numFmtId="0" fontId="25" fillId="0" borderId="0" xfId="0" applyFont="1" applyAlignment="1">
      <alignment vertical="top" wrapText="1"/>
    </xf>
    <xf numFmtId="0" fontId="26" fillId="0" borderId="0" xfId="0" applyFont="1" applyAlignment="1">
      <alignment horizontal="left" indent="4"/>
    </xf>
    <xf numFmtId="0" fontId="25" fillId="0" borderId="0" xfId="0" applyFont="1" applyAlignment="1">
      <alignment horizontal="left" vertical="top"/>
    </xf>
    <xf numFmtId="0" fontId="25" fillId="0" borderId="0" xfId="0" applyFont="1" applyAlignment="1">
      <alignment horizontal="left"/>
    </xf>
    <xf numFmtId="0" fontId="25" fillId="0" borderId="0" xfId="0" applyFont="1"/>
    <xf numFmtId="0" fontId="37" fillId="0" borderId="0" xfId="543" applyFont="1"/>
    <xf numFmtId="1" fontId="25" fillId="0" borderId="0" xfId="0" applyNumberFormat="1" applyFont="1" applyAlignment="1">
      <alignment horizontal="left"/>
    </xf>
    <xf numFmtId="0" fontId="27" fillId="0" borderId="0" xfId="0" applyFont="1"/>
    <xf numFmtId="1" fontId="25" fillId="0" borderId="0" xfId="0" applyNumberFormat="1" applyFont="1" applyAlignment="1">
      <alignment horizontal="right"/>
    </xf>
    <xf numFmtId="0" fontId="0" fillId="0" borderId="0" xfId="0" applyAlignment="1">
      <alignment horizontal="right"/>
    </xf>
    <xf numFmtId="0" fontId="36" fillId="0" borderId="0" xfId="0" applyFont="1"/>
    <xf numFmtId="0" fontId="29" fillId="0" borderId="0" xfId="0" applyFont="1"/>
    <xf numFmtId="172" fontId="17" fillId="0" borderId="0" xfId="543" applyNumberFormat="1"/>
    <xf numFmtId="9" fontId="17" fillId="0" borderId="0" xfId="543" applyNumberFormat="1" applyAlignment="1">
      <alignment horizontal="left"/>
    </xf>
    <xf numFmtId="168" fontId="17" fillId="0" borderId="0" xfId="543" applyNumberFormat="1"/>
    <xf numFmtId="0" fontId="26" fillId="0" borderId="0" xfId="0" applyFont="1" applyAlignment="1">
      <alignment horizontal="right"/>
    </xf>
    <xf numFmtId="0" fontId="40" fillId="0" borderId="0" xfId="0" applyFont="1"/>
    <xf numFmtId="0" fontId="26" fillId="0" borderId="0" xfId="0" applyFont="1" applyAlignment="1">
      <alignment horizontal="left"/>
    </xf>
    <xf numFmtId="0" fontId="28" fillId="0" borderId="0" xfId="0" applyFont="1"/>
    <xf numFmtId="0" fontId="30" fillId="0" borderId="0" xfId="0" applyFont="1"/>
    <xf numFmtId="0" fontId="24"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4" fillId="0" borderId="1" xfId="0" applyFont="1" applyBorder="1" applyAlignment="1">
      <alignment horizontal="center" wrapText="1"/>
    </xf>
    <xf numFmtId="0" fontId="24"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4" fillId="0" borderId="4" xfId="0" applyFont="1" applyBorder="1" applyAlignment="1">
      <alignment horizontal="center"/>
    </xf>
    <xf numFmtId="0" fontId="33" fillId="0" borderId="3" xfId="0" applyFont="1" applyBorder="1" applyAlignment="1">
      <alignment horizontal="left"/>
    </xf>
    <xf numFmtId="0" fontId="33" fillId="0" borderId="9" xfId="0" applyFont="1" applyBorder="1" applyAlignment="1">
      <alignment horizontal="left"/>
    </xf>
    <xf numFmtId="0" fontId="24" fillId="0" borderId="4" xfId="0" applyFont="1" applyBorder="1" applyAlignment="1">
      <alignment horizontal="right"/>
    </xf>
    <xf numFmtId="0" fontId="24" fillId="0" borderId="5" xfId="0" applyFont="1" applyBorder="1" applyAlignment="1">
      <alignment horizontal="right"/>
    </xf>
    <xf numFmtId="0" fontId="33" fillId="0" borderId="0" xfId="0" applyFont="1" applyAlignment="1">
      <alignment horizontal="left"/>
    </xf>
    <xf numFmtId="0" fontId="24" fillId="0" borderId="0" xfId="0" applyFont="1" applyAlignment="1">
      <alignment horizontal="right"/>
    </xf>
    <xf numFmtId="0" fontId="24"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6" fillId="0" borderId="11" xfId="0" applyFont="1" applyBorder="1" applyAlignment="1">
      <alignment horizontal="left"/>
    </xf>
    <xf numFmtId="0" fontId="24" fillId="0" borderId="9" xfId="0" applyFont="1" applyBorder="1"/>
    <xf numFmtId="164" fontId="0" fillId="0" borderId="0" xfId="0" applyNumberFormat="1" applyAlignment="1">
      <alignment horizontal="center"/>
    </xf>
    <xf numFmtId="0" fontId="0" fillId="0" borderId="12" xfId="0" applyBorder="1"/>
    <xf numFmtId="0" fontId="26" fillId="0" borderId="3" xfId="0" applyFont="1" applyBorder="1"/>
    <xf numFmtId="0" fontId="26" fillId="0" borderId="0" xfId="543" applyFont="1"/>
    <xf numFmtId="0" fontId="42" fillId="0" borderId="0" xfId="543" applyFont="1"/>
    <xf numFmtId="49" fontId="17" fillId="0" borderId="0" xfId="543" applyNumberFormat="1"/>
    <xf numFmtId="0" fontId="40" fillId="0" borderId="0" xfId="543" applyFont="1"/>
    <xf numFmtId="168" fontId="37" fillId="0" borderId="6" xfId="543" applyNumberFormat="1" applyFont="1" applyBorder="1" applyAlignment="1">
      <alignment horizontal="left"/>
    </xf>
    <xf numFmtId="168" fontId="37" fillId="0" borderId="6" xfId="543" applyNumberFormat="1" applyFont="1" applyBorder="1" applyAlignment="1">
      <alignment horizontal="center"/>
    </xf>
    <xf numFmtId="0" fontId="17" fillId="0" borderId="8" xfId="543" applyBorder="1"/>
    <xf numFmtId="0" fontId="37" fillId="0" borderId="0" xfId="543" applyFont="1" applyAlignment="1">
      <alignment horizontal="center"/>
    </xf>
    <xf numFmtId="0" fontId="36" fillId="0" borderId="9" xfId="543" applyFont="1" applyBorder="1" applyAlignment="1">
      <alignment horizontal="left" vertical="top" wrapText="1"/>
    </xf>
    <xf numFmtId="0" fontId="36" fillId="0" borderId="6" xfId="543" applyFont="1" applyBorder="1" applyAlignment="1">
      <alignment horizontal="center" vertical="top" wrapText="1"/>
    </xf>
    <xf numFmtId="0" fontId="17" fillId="0" borderId="9" xfId="543" applyBorder="1"/>
    <xf numFmtId="0" fontId="17" fillId="0" borderId="10" xfId="543" applyBorder="1"/>
    <xf numFmtId="0" fontId="17" fillId="0" borderId="1" xfId="543" applyBorder="1"/>
    <xf numFmtId="0" fontId="37" fillId="0" borderId="2" xfId="543" applyFont="1" applyBorder="1" applyAlignment="1">
      <alignment horizontal="center"/>
    </xf>
    <xf numFmtId="0" fontId="39" fillId="0" borderId="8" xfId="543" applyFont="1" applyBorder="1" applyAlignment="1">
      <alignment horizontal="left" vertical="top" wrapText="1"/>
    </xf>
    <xf numFmtId="0" fontId="36" fillId="0" borderId="0" xfId="543" applyFont="1" applyAlignment="1">
      <alignment horizontal="center" vertical="top" wrapText="1"/>
    </xf>
    <xf numFmtId="0" fontId="17" fillId="0" borderId="12" xfId="543" applyBorder="1"/>
    <xf numFmtId="0" fontId="39" fillId="0" borderId="0" xfId="543" applyFont="1" applyAlignment="1">
      <alignment horizontal="center" vertical="top" wrapText="1"/>
    </xf>
    <xf numFmtId="0" fontId="39" fillId="0" borderId="9" xfId="543" applyFont="1" applyBorder="1" applyAlignment="1">
      <alignment horizontal="left" vertical="top" wrapText="1"/>
    </xf>
    <xf numFmtId="0" fontId="17" fillId="0" borderId="2" xfId="543" applyBorder="1"/>
    <xf numFmtId="0" fontId="17" fillId="0" borderId="7" xfId="543" applyBorder="1"/>
    <xf numFmtId="0" fontId="36" fillId="0" borderId="0" xfId="543" applyFont="1"/>
    <xf numFmtId="0" fontId="17" fillId="0" borderId="0" xfId="543" applyAlignment="1">
      <alignment horizontal="center"/>
    </xf>
    <xf numFmtId="0" fontId="25" fillId="0" borderId="6" xfId="543" applyFont="1" applyBorder="1" applyAlignment="1">
      <alignment vertical="top" wrapText="1"/>
    </xf>
    <xf numFmtId="0" fontId="26" fillId="0" borderId="0" xfId="0" applyFont="1" applyAlignment="1">
      <alignment horizontal="left" vertical="top"/>
    </xf>
    <xf numFmtId="0" fontId="0" fillId="2" borderId="2" xfId="0" applyFill="1" applyBorder="1"/>
    <xf numFmtId="0" fontId="0" fillId="2" borderId="7" xfId="0" applyFill="1" applyBorder="1"/>
    <xf numFmtId="0" fontId="24" fillId="0" borderId="6" xfId="0" applyFont="1" applyBorder="1" applyAlignment="1">
      <alignment horizontal="right"/>
    </xf>
    <xf numFmtId="0" fontId="23" fillId="0" borderId="0" xfId="0" applyFont="1" applyAlignment="1">
      <alignment horizontal="center" vertical="center"/>
    </xf>
    <xf numFmtId="0" fontId="24" fillId="0" borderId="0" xfId="0" applyFont="1" applyAlignment="1">
      <alignment vertical="top"/>
    </xf>
    <xf numFmtId="166" fontId="0" fillId="0" borderId="0" xfId="0" applyNumberFormat="1" applyAlignment="1">
      <alignment horizontal="right"/>
    </xf>
    <xf numFmtId="0" fontId="47" fillId="0" borderId="0" xfId="0" applyFont="1"/>
    <xf numFmtId="0" fontId="34" fillId="0" borderId="0" xfId="0" applyFont="1"/>
    <xf numFmtId="0" fontId="18" fillId="0" borderId="0" xfId="244" applyBorder="1" applyProtection="1"/>
    <xf numFmtId="0" fontId="18" fillId="0" borderId="0" xfId="244" applyFill="1" applyBorder="1" applyAlignment="1">
      <alignment horizontal="center" vertical="center"/>
    </xf>
    <xf numFmtId="0" fontId="17" fillId="0" borderId="3" xfId="543" applyBorder="1"/>
    <xf numFmtId="0" fontId="39" fillId="0" borderId="4" xfId="543" applyFont="1" applyBorder="1" applyAlignment="1">
      <alignment horizontal="right" vertical="top" wrapText="1"/>
    </xf>
    <xf numFmtId="0" fontId="26" fillId="0" borderId="6" xfId="0" applyFont="1" applyBorder="1"/>
    <xf numFmtId="0" fontId="26" fillId="0" borderId="2" xfId="0" applyFont="1" applyBorder="1"/>
    <xf numFmtId="0" fontId="26" fillId="0" borderId="7" xfId="0" applyFont="1" applyBorder="1"/>
    <xf numFmtId="0" fontId="26" fillId="0" borderId="12" xfId="0" applyFont="1" applyBorder="1"/>
    <xf numFmtId="0" fontId="26" fillId="0" borderId="9" xfId="0" applyFont="1" applyBorder="1"/>
    <xf numFmtId="0" fontId="26" fillId="0" borderId="10" xfId="0" applyFont="1" applyBorder="1"/>
    <xf numFmtId="0" fontId="31" fillId="0" borderId="6" xfId="0" applyFont="1" applyBorder="1" applyAlignment="1">
      <alignment vertical="top" wrapText="1"/>
    </xf>
    <xf numFmtId="0" fontId="31" fillId="0" borderId="5" xfId="0" applyFont="1" applyBorder="1" applyAlignment="1">
      <alignment vertical="top" wrapText="1"/>
    </xf>
    <xf numFmtId="0" fontId="31" fillId="0" borderId="4" xfId="0" applyFont="1" applyBorder="1" applyAlignment="1">
      <alignment vertical="top" wrapText="1"/>
    </xf>
    <xf numFmtId="0" fontId="31" fillId="2" borderId="6" xfId="0" applyFont="1" applyFill="1" applyBorder="1" applyAlignment="1">
      <alignment vertical="top" wrapText="1"/>
    </xf>
    <xf numFmtId="0" fontId="0" fillId="0" borderId="8" xfId="0" applyBorder="1"/>
    <xf numFmtId="0" fontId="24" fillId="0" borderId="2" xfId="0" applyFont="1" applyBorder="1"/>
    <xf numFmtId="0" fontId="26" fillId="0" borderId="0" xfId="0" applyFont="1" applyAlignment="1">
      <alignment vertical="top"/>
    </xf>
    <xf numFmtId="0" fontId="26" fillId="0" borderId="0" xfId="0" applyFont="1" applyAlignment="1">
      <alignment vertical="top" wrapText="1"/>
    </xf>
    <xf numFmtId="0" fontId="17" fillId="0" borderId="0" xfId="0" applyFont="1" applyAlignment="1">
      <alignment horizontal="left"/>
    </xf>
    <xf numFmtId="0" fontId="17" fillId="0" borderId="0" xfId="0" applyFont="1" applyAlignment="1">
      <alignment vertical="top"/>
    </xf>
    <xf numFmtId="0" fontId="46" fillId="0" borderId="0" xfId="0" applyFont="1"/>
    <xf numFmtId="0" fontId="17" fillId="0" borderId="3" xfId="0" applyFont="1" applyBorder="1"/>
    <xf numFmtId="0" fontId="17"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1" fillId="3" borderId="4" xfId="0" applyFont="1" applyFill="1" applyBorder="1" applyAlignment="1">
      <alignment vertical="top" wrapText="1"/>
    </xf>
    <xf numFmtId="0" fontId="31" fillId="3" borderId="5" xfId="0" applyFont="1" applyFill="1" applyBorder="1" applyAlignment="1">
      <alignment vertical="top" wrapText="1"/>
    </xf>
    <xf numFmtId="0" fontId="49" fillId="0" borderId="0" xfId="0" applyFont="1"/>
    <xf numFmtId="0" fontId="26" fillId="0" borderId="4" xfId="0" applyFont="1" applyBorder="1"/>
    <xf numFmtId="0" fontId="24" fillId="0" borderId="2" xfId="0" applyFont="1" applyBorder="1" applyAlignment="1">
      <alignment horizontal="center"/>
    </xf>
    <xf numFmtId="0" fontId="24" fillId="0" borderId="0" xfId="0" applyFont="1" applyAlignment="1">
      <alignment horizontal="center" vertical="center" wrapText="1"/>
    </xf>
    <xf numFmtId="0" fontId="24" fillId="0" borderId="7" xfId="543" applyFont="1" applyBorder="1" applyAlignment="1">
      <alignment horizontal="right"/>
    </xf>
    <xf numFmtId="0" fontId="25" fillId="0" borderId="9" xfId="543" applyFont="1" applyBorder="1"/>
    <xf numFmtId="0" fontId="26" fillId="0" borderId="6" xfId="543" applyFont="1" applyBorder="1"/>
    <xf numFmtId="0" fontId="25" fillId="0" borderId="6" xfId="543" applyFont="1" applyBorder="1" applyAlignment="1">
      <alignment horizontal="right"/>
    </xf>
    <xf numFmtId="0" fontId="24" fillId="0" borderId="0" xfId="0" applyFont="1" applyAlignment="1">
      <alignment horizontal="center" vertical="center"/>
    </xf>
    <xf numFmtId="0" fontId="26" fillId="0" borderId="0" xfId="0" applyFont="1" applyAlignment="1">
      <alignment horizontal="left" vertical="center"/>
    </xf>
    <xf numFmtId="0" fontId="54" fillId="0" borderId="3" xfId="0" applyFont="1" applyBorder="1" applyAlignment="1">
      <alignment horizontal="left" vertical="top"/>
    </xf>
    <xf numFmtId="0" fontId="54" fillId="0" borderId="13" xfId="0" applyFont="1" applyBorder="1" applyAlignment="1">
      <alignment horizontal="center" wrapText="1"/>
    </xf>
    <xf numFmtId="0" fontId="54" fillId="0" borderId="13" xfId="0" applyFont="1" applyBorder="1" applyAlignment="1">
      <alignment horizontal="center" vertical="top" wrapText="1"/>
    </xf>
    <xf numFmtId="0" fontId="54" fillId="2" borderId="13" xfId="0" applyFont="1" applyFill="1" applyBorder="1" applyAlignment="1">
      <alignment horizontal="center" wrapText="1"/>
    </xf>
    <xf numFmtId="0" fontId="55" fillId="2" borderId="11" xfId="0" applyFont="1" applyFill="1" applyBorder="1" applyAlignment="1">
      <alignment horizontal="left" vertical="top" wrapText="1"/>
    </xf>
    <xf numFmtId="0" fontId="56" fillId="4" borderId="11" xfId="0" applyFont="1" applyFill="1" applyBorder="1" applyAlignment="1">
      <alignment vertical="top" wrapText="1"/>
    </xf>
    <xf numFmtId="0" fontId="56" fillId="2" borderId="11" xfId="0" applyFont="1" applyFill="1" applyBorder="1" applyAlignment="1">
      <alignment vertical="top" wrapText="1"/>
    </xf>
    <xf numFmtId="0" fontId="56" fillId="0" borderId="11" xfId="0" applyFont="1" applyBorder="1" applyAlignment="1">
      <alignment vertical="top" wrapText="1"/>
    </xf>
    <xf numFmtId="0" fontId="56" fillId="0" borderId="11" xfId="0" applyFont="1" applyBorder="1" applyAlignment="1">
      <alignment horizontal="right" vertical="top" wrapText="1"/>
    </xf>
    <xf numFmtId="168" fontId="56" fillId="0" borderId="11" xfId="0" applyNumberFormat="1" applyFont="1" applyBorder="1" applyAlignment="1">
      <alignment vertical="top" wrapText="1"/>
    </xf>
    <xf numFmtId="168" fontId="56" fillId="5" borderId="11" xfId="0" applyNumberFormat="1" applyFont="1" applyFill="1" applyBorder="1" applyAlignment="1" applyProtection="1">
      <alignment vertical="top" wrapText="1"/>
      <protection locked="0"/>
    </xf>
    <xf numFmtId="168" fontId="56" fillId="6" borderId="11" xfId="0" applyNumberFormat="1" applyFont="1" applyFill="1" applyBorder="1" applyAlignment="1">
      <alignment horizontal="center" vertical="top" wrapText="1"/>
    </xf>
    <xf numFmtId="0" fontId="54" fillId="0" borderId="11" xfId="0" applyFont="1" applyBorder="1" applyAlignment="1">
      <alignment horizontal="right" vertical="top" wrapText="1"/>
    </xf>
    <xf numFmtId="168" fontId="54" fillId="0" borderId="11" xfId="0" applyNumberFormat="1" applyFont="1" applyBorder="1" applyAlignment="1">
      <alignment vertical="top" wrapText="1"/>
    </xf>
    <xf numFmtId="168" fontId="56" fillId="4" borderId="11" xfId="0" applyNumberFormat="1" applyFont="1" applyFill="1" applyBorder="1" applyAlignment="1">
      <alignment vertical="top" wrapText="1"/>
    </xf>
    <xf numFmtId="0" fontId="54" fillId="2" borderId="11" xfId="0" applyFont="1" applyFill="1" applyBorder="1" applyAlignment="1">
      <alignment vertical="top" wrapText="1"/>
    </xf>
    <xf numFmtId="0" fontId="54" fillId="0" borderId="11" xfId="0" applyFont="1" applyBorder="1" applyAlignment="1">
      <alignment vertical="top" wrapText="1"/>
    </xf>
    <xf numFmtId="0" fontId="20" fillId="0" borderId="11" xfId="0" applyFont="1" applyBorder="1" applyAlignment="1">
      <alignment horizontal="right" vertical="top" wrapText="1"/>
    </xf>
    <xf numFmtId="0" fontId="56" fillId="0" borderId="11" xfId="0" applyFont="1" applyBorder="1" applyAlignment="1" applyProtection="1">
      <alignment horizontal="right" vertical="top" wrapText="1"/>
      <protection locked="0"/>
    </xf>
    <xf numFmtId="0" fontId="54" fillId="0" borderId="0" xfId="0" applyFont="1" applyAlignment="1">
      <alignment horizontal="left" vertical="top"/>
    </xf>
    <xf numFmtId="0" fontId="56" fillId="0" borderId="0" xfId="0" applyFont="1" applyAlignment="1">
      <alignment horizontal="left" vertical="top"/>
    </xf>
    <xf numFmtId="0" fontId="56" fillId="0" borderId="0" xfId="0" applyFont="1" applyAlignment="1">
      <alignment vertical="top" wrapText="1"/>
    </xf>
    <xf numFmtId="0" fontId="56" fillId="0" borderId="0" xfId="0" applyFont="1" applyAlignment="1">
      <alignment vertical="top"/>
    </xf>
    <xf numFmtId="0" fontId="54" fillId="0" borderId="0" xfId="0" applyFont="1" applyAlignment="1">
      <alignment horizontal="right" vertical="top"/>
    </xf>
    <xf numFmtId="0" fontId="56" fillId="2" borderId="0" xfId="0" applyFont="1" applyFill="1" applyAlignment="1">
      <alignment vertical="top" wrapText="1"/>
    </xf>
    <xf numFmtId="0" fontId="54" fillId="0" borderId="0" xfId="0" applyFont="1" applyAlignment="1">
      <alignment vertical="top"/>
    </xf>
    <xf numFmtId="166" fontId="26" fillId="0" borderId="0" xfId="0" applyNumberFormat="1" applyFont="1" applyAlignment="1">
      <alignment horizontal="left"/>
    </xf>
    <xf numFmtId="0" fontId="57" fillId="0" borderId="0" xfId="0" applyFont="1"/>
    <xf numFmtId="0" fontId="17" fillId="0" borderId="0" xfId="244" applyFont="1" applyFill="1" applyBorder="1" applyAlignment="1" applyProtection="1">
      <alignment horizontal="left"/>
    </xf>
    <xf numFmtId="0" fontId="48" fillId="0" borderId="0" xfId="0" applyFont="1"/>
    <xf numFmtId="0" fontId="48" fillId="0" borderId="0" xfId="244" applyFont="1" applyFill="1" applyBorder="1" applyAlignment="1" applyProtection="1">
      <alignment horizontal="left"/>
    </xf>
    <xf numFmtId="0" fontId="23" fillId="3" borderId="11" xfId="0" applyFont="1" applyFill="1" applyBorder="1" applyAlignment="1">
      <alignment vertical="top"/>
    </xf>
    <xf numFmtId="0" fontId="0" fillId="7" borderId="0" xfId="0" applyFill="1"/>
    <xf numFmtId="0" fontId="37" fillId="0" borderId="0" xfId="0" applyFont="1"/>
    <xf numFmtId="0" fontId="59" fillId="0" borderId="0" xfId="0" applyFont="1"/>
    <xf numFmtId="0" fontId="35" fillId="0" borderId="0" xfId="0" applyFont="1" applyAlignment="1">
      <alignment horizontal="center"/>
    </xf>
    <xf numFmtId="0" fontId="35" fillId="0" borderId="0" xfId="0" applyFont="1" applyAlignment="1">
      <alignment horizontal="left"/>
    </xf>
    <xf numFmtId="49" fontId="24" fillId="0" borderId="0" xfId="0" applyNumberFormat="1" applyFont="1" applyAlignment="1">
      <alignment horizontal="center"/>
    </xf>
    <xf numFmtId="0" fontId="51" fillId="0" borderId="0" xfId="0" applyFont="1" applyAlignment="1">
      <alignment horizontal="center"/>
    </xf>
    <xf numFmtId="168" fontId="26" fillId="0" borderId="0" xfId="0" applyNumberFormat="1" applyFont="1" applyAlignment="1">
      <alignment horizontal="center"/>
    </xf>
    <xf numFmtId="168" fontId="36" fillId="0" borderId="0" xfId="0" applyNumberFormat="1" applyFont="1" applyAlignment="1">
      <alignment horizontal="left" vertical="top" wrapText="1"/>
    </xf>
    <xf numFmtId="0" fontId="53" fillId="0" borderId="3" xfId="0" applyFont="1" applyBorder="1"/>
    <xf numFmtId="168" fontId="0" fillId="0" borderId="0" xfId="0" applyNumberFormat="1" applyAlignment="1">
      <alignment horizontal="center"/>
    </xf>
    <xf numFmtId="0" fontId="37" fillId="0" borderId="0" xfId="0" applyFont="1" applyAlignment="1">
      <alignment vertical="top" wrapText="1"/>
    </xf>
    <xf numFmtId="0" fontId="54" fillId="0" borderId="4" xfId="0" applyFont="1" applyBorder="1" applyAlignment="1">
      <alignment horizontal="right"/>
    </xf>
    <xf numFmtId="0" fontId="61" fillId="0" borderId="0" xfId="0" applyFont="1"/>
    <xf numFmtId="3" fontId="26" fillId="0" borderId="0" xfId="0" applyNumberFormat="1" applyFont="1" applyAlignment="1">
      <alignment horizontal="center"/>
    </xf>
    <xf numFmtId="168" fontId="17" fillId="0" borderId="0" xfId="0" applyNumberFormat="1" applyFont="1" applyAlignment="1">
      <alignment horizontal="left" vertical="top"/>
    </xf>
    <xf numFmtId="168" fontId="26" fillId="0" borderId="0" xfId="0" applyNumberFormat="1" applyFont="1" applyAlignment="1">
      <alignment horizontal="left" vertical="top"/>
    </xf>
    <xf numFmtId="0" fontId="56" fillId="0" borderId="11" xfId="0" applyFont="1" applyBorder="1" applyAlignment="1">
      <alignment horizontal="right" vertical="top"/>
    </xf>
    <xf numFmtId="0" fontId="56" fillId="0" borderId="0" xfId="0" applyFont="1" applyAlignment="1">
      <alignment horizontal="right" vertical="top" wrapText="1"/>
    </xf>
    <xf numFmtId="0" fontId="56" fillId="2" borderId="12" xfId="0" applyFont="1" applyFill="1" applyBorder="1" applyAlignment="1">
      <alignment vertical="top" wrapText="1"/>
    </xf>
    <xf numFmtId="0" fontId="56" fillId="0" borderId="14" xfId="0" applyFont="1" applyBorder="1" applyAlignment="1">
      <alignment vertical="top" wrapText="1"/>
    </xf>
    <xf numFmtId="168" fontId="56" fillId="5" borderId="11" xfId="0" applyNumberFormat="1" applyFont="1" applyFill="1" applyBorder="1" applyAlignment="1" applyProtection="1">
      <alignment vertical="top"/>
      <protection locked="0"/>
    </xf>
    <xf numFmtId="0" fontId="56" fillId="2" borderId="11" xfId="0" applyFont="1" applyFill="1" applyBorder="1" applyAlignment="1" applyProtection="1">
      <alignment vertical="top"/>
      <protection locked="0"/>
    </xf>
    <xf numFmtId="0" fontId="56" fillId="0" borderId="11" xfId="0" applyFont="1" applyBorder="1" applyAlignment="1" applyProtection="1">
      <alignment vertical="top"/>
      <protection locked="0"/>
    </xf>
    <xf numFmtId="168" fontId="56" fillId="0" borderId="11" xfId="0" applyNumberFormat="1" applyFont="1" applyBorder="1" applyAlignment="1">
      <alignment vertical="top"/>
    </xf>
    <xf numFmtId="168" fontId="56" fillId="6" borderId="11" xfId="0" applyNumberFormat="1" applyFont="1" applyFill="1" applyBorder="1" applyAlignment="1">
      <alignment horizontal="center" vertical="top"/>
    </xf>
    <xf numFmtId="0" fontId="24" fillId="0" borderId="0" xfId="542" applyFont="1" applyProtection="1">
      <protection locked="0"/>
    </xf>
    <xf numFmtId="0" fontId="17" fillId="0" borderId="0" xfId="539" applyProtection="1"/>
    <xf numFmtId="0" fontId="37" fillId="8" borderId="0" xfId="539" applyFont="1" applyFill="1" applyAlignment="1" applyProtection="1">
      <alignment horizontal="centerContinuous"/>
    </xf>
    <xf numFmtId="0" fontId="24" fillId="0" borderId="0" xfId="543" applyFont="1"/>
    <xf numFmtId="0" fontId="26" fillId="0" borderId="0" xfId="543" applyFont="1" applyAlignment="1">
      <alignment horizontal="left"/>
    </xf>
    <xf numFmtId="0" fontId="26" fillId="0" borderId="15" xfId="0" applyFont="1" applyBorder="1"/>
    <xf numFmtId="2" fontId="40" fillId="0" borderId="11" xfId="0" applyNumberFormat="1" applyFont="1" applyBorder="1"/>
    <xf numFmtId="0" fontId="17" fillId="0" borderId="0" xfId="0" applyFont="1" applyProtection="1">
      <protection locked="0"/>
    </xf>
    <xf numFmtId="0" fontId="64" fillId="0" borderId="0" xfId="0" applyFont="1" applyAlignment="1">
      <alignment horizontal="center"/>
    </xf>
    <xf numFmtId="0" fontId="26" fillId="0" borderId="0" xfId="271"/>
    <xf numFmtId="0" fontId="24" fillId="0" borderId="0" xfId="271" applyFont="1"/>
    <xf numFmtId="0" fontId="26" fillId="0" borderId="0" xfId="271" applyAlignment="1">
      <alignment horizontal="left"/>
    </xf>
    <xf numFmtId="168" fontId="24" fillId="0" borderId="2" xfId="543" applyNumberFormat="1" applyFont="1" applyBorder="1" applyAlignment="1">
      <alignment horizontal="center" vertical="center"/>
    </xf>
    <xf numFmtId="0" fontId="39" fillId="0" borderId="0" xfId="543" applyFont="1" applyAlignment="1">
      <alignment horizontal="right" vertical="top" wrapText="1"/>
    </xf>
    <xf numFmtId="0" fontId="37" fillId="0" borderId="2" xfId="543" applyFont="1" applyBorder="1" applyAlignment="1">
      <alignment horizontal="right" vertical="top" wrapText="1"/>
    </xf>
    <xf numFmtId="0" fontId="22" fillId="0" borderId="0" xfId="0" applyFont="1"/>
    <xf numFmtId="0" fontId="66" fillId="0" borderId="0" xfId="0" applyFont="1"/>
    <xf numFmtId="0" fontId="64" fillId="0" borderId="0" xfId="0" applyFont="1"/>
    <xf numFmtId="0" fontId="37"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4" fillId="0" borderId="0" xfId="0" applyNumberFormat="1" applyFont="1" applyAlignment="1">
      <alignment horizontal="center"/>
    </xf>
    <xf numFmtId="3" fontId="26" fillId="0" borderId="0" xfId="0" applyNumberFormat="1" applyFont="1"/>
    <xf numFmtId="0" fontId="65" fillId="0" borderId="0" xfId="0" applyFont="1"/>
    <xf numFmtId="168" fontId="22" fillId="0" borderId="0" xfId="0" applyNumberFormat="1" applyFont="1"/>
    <xf numFmtId="10" fontId="22" fillId="0" borderId="0" xfId="0" applyNumberFormat="1" applyFont="1" applyAlignment="1">
      <alignment horizontal="center"/>
    </xf>
    <xf numFmtId="3" fontId="68" fillId="0" borderId="0" xfId="0" applyNumberFormat="1" applyFont="1"/>
    <xf numFmtId="3" fontId="22" fillId="0" borderId="0" xfId="0" applyNumberFormat="1" applyFont="1"/>
    <xf numFmtId="168" fontId="65" fillId="0" borderId="0" xfId="0" applyNumberFormat="1" applyFont="1"/>
    <xf numFmtId="168" fontId="65" fillId="0" borderId="0" xfId="0" applyNumberFormat="1" applyFont="1" applyAlignment="1">
      <alignment horizontal="center"/>
    </xf>
    <xf numFmtId="0" fontId="22" fillId="5" borderId="0" xfId="0" applyFont="1" applyFill="1" applyAlignment="1">
      <alignment horizontal="left"/>
    </xf>
    <xf numFmtId="0" fontId="22" fillId="5" borderId="0" xfId="0" applyFont="1" applyFill="1"/>
    <xf numFmtId="10" fontId="22" fillId="0" borderId="0" xfId="0" applyNumberFormat="1" applyFont="1"/>
    <xf numFmtId="172" fontId="22" fillId="0" borderId="0" xfId="0" applyNumberFormat="1" applyFont="1"/>
    <xf numFmtId="172" fontId="22" fillId="0" borderId="0" xfId="0" applyNumberFormat="1" applyFont="1" applyAlignment="1">
      <alignment horizontal="center"/>
    </xf>
    <xf numFmtId="0" fontId="22" fillId="0" borderId="6" xfId="0" applyFont="1" applyBorder="1"/>
    <xf numFmtId="10" fontId="22" fillId="0" borderId="6" xfId="0" applyNumberFormat="1" applyFont="1" applyBorder="1" applyAlignment="1">
      <alignment horizontal="center"/>
    </xf>
    <xf numFmtId="3" fontId="22" fillId="0" borderId="6" xfId="0" applyNumberFormat="1" applyFont="1" applyBorder="1"/>
    <xf numFmtId="10" fontId="26" fillId="0" borderId="0" xfId="0" applyNumberFormat="1" applyFont="1" applyAlignment="1">
      <alignment horizontal="center"/>
    </xf>
    <xf numFmtId="3" fontId="26" fillId="0" borderId="0" xfId="0" applyNumberFormat="1" applyFont="1" applyAlignment="1">
      <alignment vertical="top"/>
    </xf>
    <xf numFmtId="10" fontId="24" fillId="0" borderId="0" xfId="0" applyNumberFormat="1" applyFont="1" applyAlignment="1">
      <alignment horizontal="center"/>
    </xf>
    <xf numFmtId="0" fontId="64" fillId="0" borderId="6" xfId="0" applyFont="1" applyBorder="1" applyAlignment="1">
      <alignment horizontal="center"/>
    </xf>
    <xf numFmtId="172" fontId="26" fillId="0" borderId="0" xfId="0" applyNumberFormat="1" applyFont="1" applyAlignment="1">
      <alignment horizontal="center"/>
    </xf>
    <xf numFmtId="10" fontId="69" fillId="0" borderId="0" xfId="0" applyNumberFormat="1" applyFont="1" applyAlignment="1">
      <alignment horizontal="center"/>
    </xf>
    <xf numFmtId="0" fontId="26" fillId="9" borderId="6" xfId="0" applyFont="1" applyFill="1" applyBorder="1"/>
    <xf numFmtId="0" fontId="26" fillId="0" borderId="4" xfId="271" applyBorder="1"/>
    <xf numFmtId="0" fontId="26" fillId="0" borderId="6" xfId="271" applyBorder="1"/>
    <xf numFmtId="0" fontId="26" fillId="0" borderId="1" xfId="0" applyFont="1" applyBorder="1"/>
    <xf numFmtId="168" fontId="26" fillId="0" borderId="3" xfId="0" applyNumberFormat="1" applyFont="1" applyBorder="1" applyAlignment="1">
      <alignment vertical="top"/>
    </xf>
    <xf numFmtId="168" fontId="26" fillId="0" borderId="4" xfId="0" applyNumberFormat="1" applyFont="1" applyBorder="1" applyAlignment="1">
      <alignment vertical="top"/>
    </xf>
    <xf numFmtId="168" fontId="26" fillId="0" borderId="5" xfId="0" applyNumberFormat="1" applyFont="1" applyBorder="1" applyAlignment="1">
      <alignment vertical="top"/>
    </xf>
    <xf numFmtId="168" fontId="26" fillId="0" borderId="8" xfId="0" applyNumberFormat="1" applyFont="1" applyBorder="1" applyAlignment="1">
      <alignment vertical="top"/>
    </xf>
    <xf numFmtId="168" fontId="26" fillId="0" borderId="0" xfId="0" applyNumberFormat="1" applyFont="1" applyAlignment="1">
      <alignment vertical="top"/>
    </xf>
    <xf numFmtId="0" fontId="26" fillId="0" borderId="0" xfId="0" applyFont="1" applyAlignment="1">
      <alignment horizontal="right" vertical="top"/>
    </xf>
    <xf numFmtId="0" fontId="26"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6" fillId="5" borderId="4" xfId="0" applyFont="1" applyFill="1" applyBorder="1" applyAlignment="1" applyProtection="1">
      <alignment horizontal="left" vertical="top"/>
      <protection locked="0"/>
    </xf>
    <xf numFmtId="0" fontId="26" fillId="5" borderId="5" xfId="0" applyFont="1" applyFill="1" applyBorder="1" applyAlignment="1" applyProtection="1">
      <alignment horizontal="left" vertical="top"/>
      <protection locked="0"/>
    </xf>
    <xf numFmtId="4" fontId="51" fillId="0" borderId="0" xfId="0" applyNumberFormat="1" applyFont="1" applyAlignment="1">
      <alignment horizontal="center"/>
    </xf>
    <xf numFmtId="0" fontId="36" fillId="0" borderId="1" xfId="543" applyFont="1" applyBorder="1" applyAlignment="1">
      <alignment horizontal="left" vertical="top" wrapText="1"/>
    </xf>
    <xf numFmtId="0" fontId="36" fillId="0" borderId="12" xfId="543" applyFont="1" applyBorder="1" applyAlignment="1">
      <alignment horizontal="center" vertical="top" wrapText="1"/>
    </xf>
    <xf numFmtId="0" fontId="36" fillId="0" borderId="8" xfId="543" applyFont="1" applyBorder="1" applyAlignment="1">
      <alignment horizontal="left" vertical="top" wrapText="1"/>
    </xf>
    <xf numFmtId="0" fontId="31" fillId="3" borderId="4" xfId="271" applyFont="1" applyFill="1" applyBorder="1" applyAlignment="1">
      <alignment vertical="top" wrapText="1"/>
    </xf>
    <xf numFmtId="0" fontId="23" fillId="3" borderId="11" xfId="271" applyFont="1" applyFill="1" applyBorder="1" applyAlignment="1">
      <alignment vertical="top"/>
    </xf>
    <xf numFmtId="0" fontId="24" fillId="0" borderId="9" xfId="271" applyFont="1" applyBorder="1" applyAlignment="1">
      <alignment horizontal="center" wrapText="1"/>
    </xf>
    <xf numFmtId="0" fontId="31" fillId="3" borderId="4" xfId="271" applyFont="1" applyFill="1" applyBorder="1" applyAlignment="1" applyProtection="1">
      <alignment vertical="top" wrapText="1"/>
      <protection locked="0"/>
    </xf>
    <xf numFmtId="0" fontId="31" fillId="3" borderId="5" xfId="271" applyFont="1" applyFill="1" applyBorder="1" applyAlignment="1" applyProtection="1">
      <alignment vertical="top" wrapText="1"/>
      <protection locked="0"/>
    </xf>
    <xf numFmtId="0" fontId="24" fillId="0" borderId="13" xfId="271" applyFont="1" applyBorder="1" applyAlignment="1">
      <alignment horizontal="center" wrapText="1"/>
    </xf>
    <xf numFmtId="0" fontId="49" fillId="2" borderId="11" xfId="271" applyFont="1" applyFill="1" applyBorder="1" applyAlignment="1">
      <alignment horizontal="left" vertical="top" wrapText="1"/>
    </xf>
    <xf numFmtId="0" fontId="26" fillId="0" borderId="11" xfId="271" applyBorder="1" applyAlignment="1" applyProtection="1">
      <alignment vertical="top" wrapText="1"/>
      <protection locked="0"/>
    </xf>
    <xf numFmtId="168" fontId="26" fillId="5" borderId="11" xfId="271" applyNumberFormat="1" applyFill="1" applyBorder="1" applyAlignment="1" applyProtection="1">
      <alignment vertical="top" wrapText="1"/>
      <protection locked="0"/>
    </xf>
    <xf numFmtId="0" fontId="26" fillId="5" borderId="3" xfId="271" applyFill="1" applyBorder="1" applyAlignment="1" applyProtection="1">
      <alignment vertical="top" wrapText="1"/>
      <protection locked="0"/>
    </xf>
    <xf numFmtId="0" fontId="26" fillId="5" borderId="11" xfId="271" applyFill="1" applyBorder="1" applyAlignment="1" applyProtection="1">
      <alignment vertical="top" wrapText="1"/>
      <protection locked="0"/>
    </xf>
    <xf numFmtId="0" fontId="26" fillId="0" borderId="11" xfId="271" applyBorder="1" applyAlignment="1">
      <alignment horizontal="right" vertical="top" wrapText="1"/>
    </xf>
    <xf numFmtId="168" fontId="26" fillId="0" borderId="11" xfId="271" applyNumberFormat="1" applyBorder="1" applyAlignment="1">
      <alignment vertical="top" wrapText="1"/>
    </xf>
    <xf numFmtId="0" fontId="24" fillId="0" borderId="11" xfId="271" applyFont="1" applyBorder="1" applyAlignment="1">
      <alignment horizontal="right" vertical="top" wrapText="1"/>
    </xf>
    <xf numFmtId="0" fontId="26" fillId="5" borderId="11" xfId="271" applyFill="1" applyBorder="1" applyAlignment="1" applyProtection="1">
      <alignment horizontal="right" vertical="top" wrapText="1"/>
      <protection locked="0"/>
    </xf>
    <xf numFmtId="168" fontId="24" fillId="0" borderId="11" xfId="271" applyNumberFormat="1" applyFont="1" applyBorder="1" applyAlignment="1">
      <alignment vertical="top" wrapText="1"/>
    </xf>
    <xf numFmtId="0" fontId="34" fillId="0" borderId="11" xfId="271" applyFont="1" applyBorder="1" applyAlignment="1">
      <alignment horizontal="right" vertical="top" wrapText="1"/>
    </xf>
    <xf numFmtId="0" fontId="31" fillId="0" borderId="0" xfId="271" applyFont="1" applyAlignment="1" applyProtection="1">
      <alignment vertical="top" wrapText="1"/>
      <protection locked="0"/>
    </xf>
    <xf numFmtId="0" fontId="26" fillId="0" borderId="5" xfId="271" applyBorder="1" applyAlignment="1" applyProtection="1">
      <alignment vertical="top" wrapText="1"/>
      <protection locked="0"/>
    </xf>
    <xf numFmtId="0" fontId="24" fillId="0" borderId="3" xfId="271" applyFont="1" applyBorder="1" applyAlignment="1">
      <alignment horizontal="left" vertical="top"/>
    </xf>
    <xf numFmtId="0" fontId="26" fillId="0" borderId="4" xfId="271" applyBorder="1" applyAlignment="1" applyProtection="1">
      <alignment horizontal="left" vertical="top"/>
      <protection locked="0"/>
    </xf>
    <xf numFmtId="0" fontId="26" fillId="0" borderId="4" xfId="271" applyBorder="1" applyAlignment="1" applyProtection="1">
      <alignment vertical="top" wrapText="1"/>
      <protection locked="0"/>
    </xf>
    <xf numFmtId="0" fontId="31" fillId="0" borderId="0" xfId="271" applyFont="1" applyAlignment="1">
      <alignment vertical="top" wrapText="1"/>
    </xf>
    <xf numFmtId="0" fontId="26" fillId="0" borderId="4" xfId="271" applyBorder="1" applyAlignment="1">
      <alignment vertical="top" wrapText="1"/>
    </xf>
    <xf numFmtId="0" fontId="49" fillId="2" borderId="11" xfId="271" applyFont="1" applyFill="1" applyBorder="1" applyAlignment="1" applyProtection="1">
      <alignment horizontal="left" vertical="top" wrapText="1"/>
      <protection locked="0"/>
    </xf>
    <xf numFmtId="0" fontId="53" fillId="0" borderId="11" xfId="0" applyFont="1" applyBorder="1" applyAlignment="1">
      <alignment horizontal="right" vertical="top" wrapText="1"/>
    </xf>
    <xf numFmtId="0" fontId="26" fillId="8" borderId="0" xfId="542" quotePrefix="1" applyFont="1" applyFill="1" applyAlignment="1">
      <alignment horizontal="left"/>
    </xf>
    <xf numFmtId="0" fontId="26" fillId="8" borderId="0" xfId="542" applyFont="1" applyFill="1"/>
    <xf numFmtId="0" fontId="34" fillId="8" borderId="0" xfId="542" applyFont="1" applyFill="1"/>
    <xf numFmtId="0" fontId="53" fillId="0" borderId="11" xfId="271" applyFont="1" applyBorder="1" applyAlignment="1">
      <alignment horizontal="right" vertical="top"/>
    </xf>
    <xf numFmtId="0" fontId="53" fillId="0" borderId="11" xfId="271" applyFont="1" applyBorder="1" applyAlignment="1">
      <alignment horizontal="right" vertical="top" wrapText="1"/>
    </xf>
    <xf numFmtId="0" fontId="26" fillId="0" borderId="0" xfId="271" applyAlignment="1">
      <alignment horizontal="left" vertical="top"/>
    </xf>
    <xf numFmtId="0" fontId="24" fillId="0" borderId="0" xfId="271" applyFont="1" applyAlignment="1">
      <alignment horizontal="right"/>
    </xf>
    <xf numFmtId="0" fontId="25" fillId="0" borderId="0" xfId="271" applyFont="1" applyAlignment="1">
      <alignment horizontal="center"/>
    </xf>
    <xf numFmtId="5" fontId="26" fillId="0" borderId="0" xfId="542" applyNumberFormat="1" applyFont="1"/>
    <xf numFmtId="1" fontId="26" fillId="0" borderId="15" xfId="271" applyNumberFormat="1" applyBorder="1"/>
    <xf numFmtId="1" fontId="26" fillId="0" borderId="14" xfId="271" applyNumberFormat="1" applyBorder="1"/>
    <xf numFmtId="0" fontId="25" fillId="0" borderId="6" xfId="271" applyFont="1" applyBorder="1" applyAlignment="1">
      <alignment horizontal="left"/>
    </xf>
    <xf numFmtId="0" fontId="25" fillId="0" borderId="6" xfId="271" applyFont="1" applyBorder="1" applyAlignment="1">
      <alignment horizontal="right"/>
    </xf>
    <xf numFmtId="165" fontId="26" fillId="0" borderId="0" xfId="271" applyNumberFormat="1"/>
    <xf numFmtId="170" fontId="26" fillId="0" borderId="14" xfId="271" applyNumberFormat="1" applyBorder="1"/>
    <xf numFmtId="1" fontId="24" fillId="0" borderId="11" xfId="271" applyNumberFormat="1" applyFont="1" applyBorder="1"/>
    <xf numFmtId="165" fontId="24" fillId="0" borderId="11" xfId="271" applyNumberFormat="1" applyFont="1" applyBorder="1"/>
    <xf numFmtId="3" fontId="56" fillId="0" borderId="11" xfId="0" applyNumberFormat="1" applyFont="1" applyBorder="1" applyAlignment="1">
      <alignment vertical="top" wrapText="1"/>
    </xf>
    <xf numFmtId="166" fontId="26" fillId="0" borderId="0" xfId="0" applyNumberFormat="1" applyFont="1"/>
    <xf numFmtId="0" fontId="0" fillId="0" borderId="0" xfId="0" applyProtection="1">
      <protection locked="0"/>
    </xf>
    <xf numFmtId="0" fontId="22" fillId="0" borderId="0" xfId="0" applyFont="1" applyProtection="1">
      <protection locked="0"/>
    </xf>
    <xf numFmtId="0" fontId="22" fillId="0" borderId="0" xfId="271" applyFont="1" applyProtection="1">
      <protection locked="0"/>
    </xf>
    <xf numFmtId="168" fontId="22" fillId="0" borderId="0" xfId="271" applyNumberFormat="1" applyFont="1" applyProtection="1">
      <protection locked="0"/>
    </xf>
    <xf numFmtId="0" fontId="30" fillId="0" borderId="1" xfId="0" applyFont="1" applyBorder="1"/>
    <xf numFmtId="0" fontId="17" fillId="0" borderId="2" xfId="0" applyFont="1" applyBorder="1" applyAlignment="1">
      <alignment horizontal="left"/>
    </xf>
    <xf numFmtId="0" fontId="17" fillId="0" borderId="2" xfId="0" applyFont="1" applyBorder="1"/>
    <xf numFmtId="0" fontId="30" fillId="0" borderId="8" xfId="0" applyFont="1" applyBorder="1"/>
    <xf numFmtId="0" fontId="30" fillId="0" borderId="9" xfId="0" applyFont="1" applyBorder="1"/>
    <xf numFmtId="0" fontId="24" fillId="0" borderId="0" xfId="0" applyFont="1" applyAlignment="1">
      <alignment horizontal="left" vertical="top"/>
    </xf>
    <xf numFmtId="0" fontId="74" fillId="0" borderId="0" xfId="0" applyFont="1" applyAlignment="1">
      <alignment vertical="center" wrapText="1"/>
    </xf>
    <xf numFmtId="0" fontId="74" fillId="0" borderId="0" xfId="0" applyFont="1" applyAlignment="1">
      <alignment vertical="center"/>
    </xf>
    <xf numFmtId="0" fontId="74" fillId="0" borderId="0" xfId="0" applyFont="1" applyAlignment="1">
      <alignment horizontal="left" vertical="center" indent="1"/>
    </xf>
    <xf numFmtId="172" fontId="26" fillId="5" borderId="0" xfId="0" applyNumberFormat="1" applyFont="1" applyFill="1" applyAlignment="1">
      <alignment horizontal="center"/>
    </xf>
    <xf numFmtId="0" fontId="75" fillId="0" borderId="0" xfId="0" applyFont="1" applyAlignment="1">
      <alignment horizontal="left" vertical="center"/>
    </xf>
    <xf numFmtId="0" fontId="36" fillId="0" borderId="2" xfId="543" applyFont="1" applyBorder="1" applyAlignment="1">
      <alignment horizontal="center" vertical="top" wrapText="1"/>
    </xf>
    <xf numFmtId="49" fontId="47" fillId="0" borderId="0" xfId="0" applyNumberFormat="1" applyFont="1" applyAlignment="1">
      <alignment horizontal="center"/>
    </xf>
    <xf numFmtId="0" fontId="53" fillId="0" borderId="0" xfId="0" applyFont="1"/>
    <xf numFmtId="5" fontId="79" fillId="0" borderId="11" xfId="541" applyNumberFormat="1" applyFont="1" applyBorder="1" applyAlignment="1" applyProtection="1">
      <alignment horizontal="center"/>
    </xf>
    <xf numFmtId="5" fontId="79" fillId="42" borderId="11" xfId="541" applyNumberFormat="1" applyFont="1" applyFill="1" applyBorder="1" applyAlignment="1" applyProtection="1">
      <alignment horizontal="center"/>
    </xf>
    <xf numFmtId="5" fontId="79" fillId="2" borderId="11" xfId="541" applyNumberFormat="1" applyFont="1" applyFill="1" applyBorder="1" applyAlignment="1" applyProtection="1">
      <alignment horizontal="center"/>
    </xf>
    <xf numFmtId="0" fontId="53" fillId="0" borderId="0" xfId="0" applyFont="1" applyAlignment="1">
      <alignment vertical="top" wrapText="1"/>
    </xf>
    <xf numFmtId="0" fontId="53" fillId="0" borderId="0" xfId="0" applyFont="1" applyAlignment="1">
      <alignment vertical="top"/>
    </xf>
    <xf numFmtId="0" fontId="53" fillId="2" borderId="0" xfId="0" applyFont="1" applyFill="1" applyAlignment="1">
      <alignment vertical="top" wrapText="1"/>
    </xf>
    <xf numFmtId="0" fontId="81" fillId="0" borderId="13" xfId="0" applyFont="1" applyBorder="1" applyAlignment="1">
      <alignment vertical="top" wrapText="1"/>
    </xf>
    <xf numFmtId="0" fontId="31" fillId="0" borderId="0" xfId="0" applyFont="1" applyAlignment="1">
      <alignment vertical="top" wrapText="1"/>
    </xf>
    <xf numFmtId="0" fontId="81" fillId="2" borderId="13" xfId="0" applyFont="1" applyFill="1" applyBorder="1" applyAlignment="1">
      <alignment vertical="top" wrapText="1"/>
    </xf>
    <xf numFmtId="0" fontId="81" fillId="0" borderId="0" xfId="0" applyFont="1" applyAlignment="1">
      <alignment vertical="top" wrapText="1"/>
    </xf>
    <xf numFmtId="0" fontId="81" fillId="2" borderId="0" xfId="0" applyFont="1" applyFill="1" applyAlignment="1">
      <alignment vertical="top" wrapText="1"/>
    </xf>
    <xf numFmtId="0" fontId="53" fillId="0" borderId="0" xfId="0" applyFont="1" applyAlignment="1">
      <alignment horizontal="right" vertical="top" wrapText="1"/>
    </xf>
    <xf numFmtId="168" fontId="53" fillId="5" borderId="6" xfId="0" applyNumberFormat="1" applyFont="1" applyFill="1" applyBorder="1" applyAlignment="1" applyProtection="1">
      <alignment horizontal="right" vertical="top" wrapText="1"/>
      <protection locked="0"/>
    </xf>
    <xf numFmtId="168" fontId="53" fillId="0" borderId="6" xfId="0" applyNumberFormat="1" applyFont="1" applyBorder="1" applyAlignment="1">
      <alignment horizontal="right" vertical="top" wrapText="1"/>
    </xf>
    <xf numFmtId="0" fontId="24" fillId="0" borderId="0" xfId="0" applyFont="1" applyAlignment="1">
      <alignment horizontal="left" vertical="top" wrapText="1"/>
    </xf>
    <xf numFmtId="0" fontId="26" fillId="0" borderId="0" xfId="0" applyFont="1" applyAlignment="1">
      <alignment horizontal="right" vertical="top" wrapText="1"/>
    </xf>
    <xf numFmtId="10" fontId="26" fillId="5" borderId="6" xfId="0" applyNumberFormat="1" applyFont="1" applyFill="1" applyBorder="1" applyAlignment="1" applyProtection="1">
      <alignment horizontal="center" vertical="top" wrapText="1"/>
      <protection locked="0"/>
    </xf>
    <xf numFmtId="0" fontId="64" fillId="0" borderId="0" xfId="0" applyFont="1" applyAlignment="1">
      <alignment horizontal="left" vertical="center"/>
    </xf>
    <xf numFmtId="0" fontId="24" fillId="0" borderId="2" xfId="543" applyFont="1" applyBorder="1" applyAlignment="1">
      <alignment horizontal="center"/>
    </xf>
    <xf numFmtId="0" fontId="0" fillId="0" borderId="0" xfId="543" applyFont="1"/>
    <xf numFmtId="0" fontId="18" fillId="0" borderId="0" xfId="244" quotePrefix="1" applyAlignment="1" applyProtection="1">
      <alignment horizontal="left"/>
    </xf>
    <xf numFmtId="168" fontId="53"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105" fillId="0" borderId="0" xfId="0" applyFont="1" applyAlignment="1">
      <alignment horizontal="left" vertical="top"/>
    </xf>
    <xf numFmtId="0" fontId="106" fillId="0" borderId="0" xfId="0" applyFont="1" applyAlignment="1">
      <alignment horizontal="left" vertical="top"/>
    </xf>
    <xf numFmtId="0" fontId="74" fillId="0" borderId="0" xfId="0" applyFont="1"/>
    <xf numFmtId="0" fontId="24" fillId="8" borderId="11" xfId="542" applyFont="1" applyFill="1" applyBorder="1" applyAlignment="1">
      <alignment horizontal="left"/>
    </xf>
    <xf numFmtId="0" fontId="24" fillId="8" borderId="11" xfId="542" applyFont="1" applyFill="1" applyBorder="1" applyAlignment="1">
      <alignment horizontal="center"/>
    </xf>
    <xf numFmtId="0" fontId="63" fillId="8" borderId="11" xfId="542" applyFont="1" applyFill="1" applyBorder="1" applyAlignment="1">
      <alignment horizontal="left"/>
    </xf>
    <xf numFmtId="0" fontId="63" fillId="0" borderId="11" xfId="542" applyFont="1" applyBorder="1" applyAlignment="1">
      <alignment horizontal="left"/>
    </xf>
    <xf numFmtId="0" fontId="24" fillId="0" borderId="0" xfId="271" applyFont="1" applyAlignment="1" applyProtection="1">
      <alignment horizontal="center" wrapText="1"/>
      <protection locked="0"/>
    </xf>
    <xf numFmtId="0" fontId="26" fillId="0" borderId="0" xfId="271" applyAlignment="1" applyProtection="1">
      <alignment vertical="top" wrapText="1"/>
      <protection locked="0"/>
    </xf>
    <xf numFmtId="0" fontId="24" fillId="0" borderId="0" xfId="271" applyFont="1" applyAlignment="1" applyProtection="1">
      <alignment vertical="top" wrapText="1"/>
      <protection locked="0"/>
    </xf>
    <xf numFmtId="0" fontId="17" fillId="0" borderId="0" xfId="0" applyFont="1" applyAlignment="1">
      <alignment horizontal="center"/>
    </xf>
    <xf numFmtId="0" fontId="31" fillId="0" borderId="8" xfId="569" applyFont="1" applyBorder="1" applyAlignment="1">
      <alignment vertical="top" wrapText="1"/>
    </xf>
    <xf numFmtId="0" fontId="31" fillId="0" borderId="0" xfId="569" applyFont="1" applyAlignment="1">
      <alignment vertical="top" wrapText="1"/>
    </xf>
    <xf numFmtId="0" fontId="55" fillId="2" borderId="11" xfId="569" applyFont="1" applyFill="1" applyBorder="1" applyAlignment="1">
      <alignment horizontal="left" vertical="top" wrapText="1"/>
    </xf>
    <xf numFmtId="6" fontId="53" fillId="4" borderId="11" xfId="569" applyNumberFormat="1" applyFont="1" applyFill="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6" fontId="53" fillId="0" borderId="11" xfId="569" applyNumberFormat="1" applyFont="1" applyBorder="1" applyAlignment="1">
      <alignment vertical="top" wrapText="1"/>
    </xf>
    <xf numFmtId="6" fontId="53" fillId="5" borderId="11" xfId="569" applyNumberFormat="1" applyFont="1" applyFill="1" applyBorder="1" applyAlignment="1" applyProtection="1">
      <alignment vertical="top" wrapText="1"/>
      <protection locked="0"/>
    </xf>
    <xf numFmtId="6" fontId="53" fillId="6" borderId="11" xfId="569" applyNumberFormat="1" applyFont="1" applyFill="1" applyBorder="1" applyAlignment="1">
      <alignment horizontal="center" vertical="top" wrapText="1"/>
    </xf>
    <xf numFmtId="0" fontId="53" fillId="0" borderId="11" xfId="569" applyFont="1" applyBorder="1" applyAlignment="1">
      <alignment horizontal="right" vertical="top" wrapText="1"/>
    </xf>
    <xf numFmtId="0" fontId="54" fillId="0" borderId="11" xfId="569" applyFont="1" applyBorder="1" applyAlignment="1">
      <alignment horizontal="right" vertical="top" wrapText="1"/>
    </xf>
    <xf numFmtId="0" fontId="53" fillId="0" borderId="11" xfId="569" applyFont="1" applyBorder="1" applyAlignment="1">
      <alignment horizontal="right" vertical="top"/>
    </xf>
    <xf numFmtId="6" fontId="54" fillId="0" borderId="11" xfId="569" applyNumberFormat="1" applyFont="1" applyBorder="1" applyAlignment="1">
      <alignment vertical="top" wrapText="1"/>
    </xf>
    <xf numFmtId="0" fontId="54" fillId="0" borderId="8" xfId="569" applyFont="1" applyBorder="1" applyAlignment="1">
      <alignment vertical="top" wrapText="1"/>
    </xf>
    <xf numFmtId="0" fontId="54" fillId="0" borderId="0" xfId="569" applyFont="1" applyAlignment="1">
      <alignment vertical="top" wrapText="1"/>
    </xf>
    <xf numFmtId="0" fontId="20" fillId="0" borderId="11" xfId="569" applyFont="1" applyBorder="1" applyAlignment="1">
      <alignment horizontal="right" vertical="top" wrapText="1"/>
    </xf>
    <xf numFmtId="0" fontId="54" fillId="0" borderId="0" xfId="569" applyFont="1" applyAlignment="1">
      <alignment horizontal="left" vertical="top"/>
    </xf>
    <xf numFmtId="6" fontId="53" fillId="0" borderId="0" xfId="569" applyNumberFormat="1" applyFont="1" applyAlignment="1">
      <alignment horizontal="left" vertical="top"/>
    </xf>
    <xf numFmtId="0" fontId="106" fillId="0" borderId="0" xfId="569" applyFont="1" applyAlignment="1">
      <alignment horizontal="left" vertical="top"/>
    </xf>
    <xf numFmtId="6" fontId="53" fillId="0" borderId="0" xfId="569" applyNumberFormat="1" applyFont="1" applyAlignment="1">
      <alignment vertical="top" wrapText="1"/>
    </xf>
    <xf numFmtId="0" fontId="53" fillId="0" borderId="0" xfId="569" applyFont="1" applyAlignment="1">
      <alignment horizontal="left" vertical="top"/>
    </xf>
    <xf numFmtId="0" fontId="53" fillId="0" borderId="12" xfId="569" applyFont="1" applyBorder="1" applyAlignment="1">
      <alignment vertical="top" wrapText="1"/>
    </xf>
    <xf numFmtId="0" fontId="24" fillId="0" borderId="0" xfId="569" applyFont="1" applyAlignment="1">
      <alignment horizontal="left" vertical="top"/>
    </xf>
    <xf numFmtId="0" fontId="109" fillId="0" borderId="0" xfId="569" applyFont="1" applyAlignment="1">
      <alignment horizontal="left" vertical="top"/>
    </xf>
    <xf numFmtId="0" fontId="64" fillId="0" borderId="0" xfId="569" applyFont="1" applyAlignment="1">
      <alignment horizontal="left" vertical="center"/>
    </xf>
    <xf numFmtId="0" fontId="32" fillId="0" borderId="0" xfId="569" applyFont="1" applyAlignment="1">
      <alignment vertical="top" wrapText="1"/>
    </xf>
    <xf numFmtId="0" fontId="32" fillId="0" borderId="12" xfId="569" applyFont="1" applyBorder="1" applyAlignment="1">
      <alignment vertical="top" wrapText="1"/>
    </xf>
    <xf numFmtId="0" fontId="32" fillId="0" borderId="8" xfId="569" applyFont="1" applyBorder="1" applyAlignment="1">
      <alignment vertical="top" wrapText="1"/>
    </xf>
    <xf numFmtId="0" fontId="53" fillId="0" borderId="0" xfId="569" applyFont="1" applyAlignment="1">
      <alignment vertical="top"/>
    </xf>
    <xf numFmtId="168" fontId="53" fillId="0" borderId="0" xfId="569" applyNumberFormat="1" applyFont="1" applyAlignment="1" applyProtection="1">
      <alignment horizontal="right" vertical="top" wrapText="1"/>
      <protection locked="0"/>
    </xf>
    <xf numFmtId="0" fontId="17" fillId="0" borderId="0" xfId="569" applyAlignment="1">
      <alignment vertical="top" wrapText="1"/>
    </xf>
    <xf numFmtId="0" fontId="17" fillId="0" borderId="0" xfId="569" applyAlignment="1">
      <alignment vertical="top"/>
    </xf>
    <xf numFmtId="0" fontId="53" fillId="0" borderId="0" xfId="569" applyFont="1" applyAlignment="1">
      <alignment horizontal="right" vertical="top" wrapText="1"/>
    </xf>
    <xf numFmtId="0" fontId="24" fillId="0" borderId="0" xfId="569" applyFont="1" applyAlignment="1">
      <alignment horizontal="left" vertical="top" wrapText="1"/>
    </xf>
    <xf numFmtId="168" fontId="53" fillId="0" borderId="0" xfId="569" applyNumberFormat="1" applyFont="1" applyAlignment="1">
      <alignment horizontal="right" vertical="top" wrapText="1"/>
    </xf>
    <xf numFmtId="0" fontId="17" fillId="0" borderId="0" xfId="569" applyAlignment="1" applyProtection="1">
      <alignment horizontal="left" vertical="top" wrapText="1"/>
      <protection locked="0"/>
    </xf>
    <xf numFmtId="0" fontId="17" fillId="0" borderId="0" xfId="569" applyAlignment="1">
      <alignment horizontal="right" vertical="top" wrapText="1"/>
    </xf>
    <xf numFmtId="0" fontId="17" fillId="0" borderId="0" xfId="569" applyAlignment="1">
      <alignment horizontal="left" vertical="top"/>
    </xf>
    <xf numFmtId="0" fontId="81" fillId="0" borderId="0" xfId="569" applyFont="1" applyAlignment="1">
      <alignment vertical="top" wrapText="1"/>
    </xf>
    <xf numFmtId="0" fontId="81" fillId="0" borderId="12" xfId="569" applyFont="1" applyBorder="1" applyAlignment="1">
      <alignment vertical="top" wrapText="1"/>
    </xf>
    <xf numFmtId="0" fontId="81" fillId="0" borderId="8" xfId="569" applyFont="1" applyBorder="1" applyAlignment="1">
      <alignment vertical="top" wrapText="1"/>
    </xf>
    <xf numFmtId="0" fontId="31" fillId="0" borderId="0" xfId="569" applyFont="1" applyAlignment="1">
      <alignment horizontal="right" vertical="top" wrapText="1"/>
    </xf>
    <xf numFmtId="0" fontId="81" fillId="0" borderId="0" xfId="569" applyFont="1" applyAlignment="1">
      <alignment horizontal="right" vertical="top" wrapText="1"/>
    </xf>
    <xf numFmtId="0" fontId="54" fillId="0" borderId="3" xfId="569" applyFont="1" applyBorder="1" applyAlignment="1">
      <alignment horizontal="left"/>
    </xf>
    <xf numFmtId="0" fontId="54" fillId="0" borderId="13" xfId="569" applyFont="1" applyBorder="1" applyAlignment="1">
      <alignment horizontal="center" wrapText="1"/>
    </xf>
    <xf numFmtId="0" fontId="54" fillId="0" borderId="8" xfId="569" applyFont="1" applyBorder="1" applyAlignment="1">
      <alignment horizontal="center" wrapText="1"/>
    </xf>
    <xf numFmtId="0" fontId="54" fillId="0" borderId="0" xfId="569" applyFont="1" applyAlignment="1">
      <alignment horizontal="center" wrapText="1"/>
    </xf>
    <xf numFmtId="0" fontId="17" fillId="0" borderId="0" xfId="569"/>
    <xf numFmtId="0" fontId="23" fillId="0" borderId="0" xfId="569" applyFont="1" applyAlignment="1">
      <alignment horizontal="center" vertical="center"/>
    </xf>
    <xf numFmtId="0" fontId="24" fillId="0" borderId="0" xfId="569" applyFont="1"/>
    <xf numFmtId="0" fontId="17" fillId="0" borderId="1" xfId="569" applyBorder="1"/>
    <xf numFmtId="0" fontId="17" fillId="0" borderId="2" xfId="569" applyBorder="1"/>
    <xf numFmtId="0" fontId="17" fillId="0" borderId="8" xfId="569" applyBorder="1"/>
    <xf numFmtId="0" fontId="17" fillId="0" borderId="9" xfId="569" applyBorder="1"/>
    <xf numFmtId="0" fontId="17" fillId="0" borderId="6" xfId="569" applyBorder="1"/>
    <xf numFmtId="0" fontId="25" fillId="0" borderId="0" xfId="569" applyFont="1"/>
    <xf numFmtId="0" fontId="17" fillId="0" borderId="7" xfId="569" applyBorder="1"/>
    <xf numFmtId="0" fontId="17" fillId="0" borderId="12" xfId="569" applyBorder="1"/>
    <xf numFmtId="0" fontId="17" fillId="0" borderId="10" xfId="569" applyBorder="1"/>
    <xf numFmtId="0" fontId="25" fillId="0" borderId="0" xfId="569" applyFont="1" applyAlignment="1">
      <alignment vertical="top" wrapText="1"/>
    </xf>
    <xf numFmtId="0" fontId="17" fillId="0" borderId="0" xfId="569" applyAlignment="1">
      <alignment horizontal="right"/>
    </xf>
    <xf numFmtId="0" fontId="17" fillId="0" borderId="0" xfId="569" applyAlignment="1">
      <alignment wrapText="1"/>
    </xf>
    <xf numFmtId="0" fontId="17" fillId="0" borderId="0" xfId="569" applyAlignment="1">
      <alignment vertical="center"/>
    </xf>
    <xf numFmtId="0" fontId="41" fillId="0" borderId="0" xfId="569" applyFont="1" applyAlignment="1">
      <alignment vertical="center" wrapText="1"/>
    </xf>
    <xf numFmtId="0" fontId="35" fillId="0" borderId="0" xfId="569" applyFont="1" applyAlignment="1">
      <alignment vertical="top" wrapText="1"/>
    </xf>
    <xf numFmtId="0" fontId="24" fillId="0" borderId="0" xfId="569" applyFont="1" applyAlignment="1">
      <alignment vertical="top" wrapText="1"/>
    </xf>
    <xf numFmtId="0" fontId="25" fillId="0" borderId="0" xfId="569" applyFont="1" applyAlignment="1">
      <alignment horizontal="left" vertical="top" wrapText="1"/>
    </xf>
    <xf numFmtId="164" fontId="17" fillId="0" borderId="0" xfId="569" applyNumberFormat="1" applyAlignment="1">
      <alignment horizontal="right"/>
    </xf>
    <xf numFmtId="168" fontId="17" fillId="0" borderId="0" xfId="569" applyNumberFormat="1" applyAlignment="1">
      <alignment horizontal="right"/>
    </xf>
    <xf numFmtId="0" fontId="107" fillId="0" borderId="0" xfId="569" applyFont="1" applyAlignment="1">
      <alignment horizontal="left" vertical="top" wrapText="1"/>
    </xf>
    <xf numFmtId="168" fontId="17" fillId="0" borderId="0" xfId="569" applyNumberFormat="1" applyAlignment="1">
      <alignment wrapText="1"/>
    </xf>
    <xf numFmtId="0" fontId="22" fillId="0" borderId="11" xfId="253" applyFont="1" applyBorder="1" applyAlignment="1">
      <alignment horizontal="center" wrapText="1"/>
    </xf>
    <xf numFmtId="0" fontId="22" fillId="0" borderId="0" xfId="253" applyFont="1" applyAlignment="1">
      <alignment horizontal="center" wrapText="1"/>
    </xf>
    <xf numFmtId="3" fontId="22" fillId="0" borderId="11" xfId="271" applyNumberFormat="1" applyFont="1" applyBorder="1"/>
    <xf numFmtId="3" fontId="22" fillId="0" borderId="0" xfId="271" applyNumberFormat="1" applyFont="1"/>
    <xf numFmtId="0" fontId="65" fillId="0" borderId="0" xfId="271" applyFont="1" applyAlignment="1">
      <alignment horizontal="left"/>
    </xf>
    <xf numFmtId="0" fontId="65" fillId="0" borderId="0" xfId="271" applyFont="1" applyAlignment="1">
      <alignment horizontal="right"/>
    </xf>
    <xf numFmtId="168" fontId="22" fillId="0" borderId="11" xfId="271" applyNumberFormat="1" applyFont="1" applyBorder="1"/>
    <xf numFmtId="168" fontId="22" fillId="0" borderId="0" xfId="271" applyNumberFormat="1" applyFont="1"/>
    <xf numFmtId="0" fontId="53" fillId="0" borderId="0" xfId="569" applyFont="1" applyAlignment="1">
      <alignment horizontal="left"/>
    </xf>
    <xf numFmtId="0" fontId="17" fillId="0" borderId="3" xfId="569" applyBorder="1"/>
    <xf numFmtId="0" fontId="108" fillId="0" borderId="0" xfId="1834"/>
    <xf numFmtId="0" fontId="0" fillId="0" borderId="0" xfId="0" applyAlignment="1">
      <alignment horizontal="left" vertical="top"/>
    </xf>
    <xf numFmtId="0" fontId="107" fillId="0" borderId="0" xfId="0" applyFont="1" applyAlignment="1">
      <alignment vertical="top" wrapText="1"/>
    </xf>
    <xf numFmtId="0" fontId="53" fillId="0" borderId="0" xfId="271" applyFont="1" applyAlignment="1">
      <alignment vertical="top" wrapText="1"/>
    </xf>
    <xf numFmtId="4" fontId="17" fillId="0" borderId="0" xfId="1192" applyNumberFormat="1" applyAlignment="1">
      <alignment horizontal="left" vertical="top" wrapText="1"/>
    </xf>
    <xf numFmtId="0" fontId="17" fillId="0" borderId="0" xfId="0" applyFont="1" applyAlignment="1">
      <alignment horizontal="left" vertical="top" wrapText="1"/>
    </xf>
    <xf numFmtId="0" fontId="24" fillId="0" borderId="12" xfId="543" applyFont="1" applyBorder="1" applyAlignment="1">
      <alignment horizontal="right"/>
    </xf>
    <xf numFmtId="0" fontId="36" fillId="0" borderId="0" xfId="543" applyFont="1" applyAlignment="1">
      <alignment horizontal="center"/>
    </xf>
    <xf numFmtId="4" fontId="17" fillId="0" borderId="0" xfId="569" applyNumberFormat="1" applyAlignment="1">
      <alignment horizontal="left"/>
    </xf>
    <xf numFmtId="0" fontId="17" fillId="0" borderId="0" xfId="569" applyAlignment="1">
      <alignment horizontal="left" vertical="top" wrapText="1"/>
    </xf>
    <xf numFmtId="0" fontId="17" fillId="0" borderId="0" xfId="569" applyAlignment="1">
      <alignment horizontal="left"/>
    </xf>
    <xf numFmtId="0" fontId="17" fillId="0" borderId="0" xfId="1192" applyAlignment="1">
      <alignment horizontal="left"/>
    </xf>
    <xf numFmtId="0" fontId="24" fillId="0" borderId="0" xfId="569" applyFont="1" applyAlignment="1">
      <alignment horizontal="left"/>
    </xf>
    <xf numFmtId="0" fontId="46" fillId="0" borderId="0" xfId="1192" applyFont="1"/>
    <xf numFmtId="0" fontId="53" fillId="0" borderId="11" xfId="0" applyFont="1" applyBorder="1" applyAlignment="1">
      <alignment horizontal="right" vertical="center"/>
    </xf>
    <xf numFmtId="0" fontId="17" fillId="0" borderId="0" xfId="1192" applyAlignment="1">
      <alignment horizontal="left" vertical="top" wrapText="1"/>
    </xf>
    <xf numFmtId="0" fontId="46" fillId="0" borderId="0" xfId="0" applyFont="1" applyAlignment="1">
      <alignment vertical="top" wrapText="1"/>
    </xf>
    <xf numFmtId="0" fontId="46" fillId="0" borderId="0" xfId="0" applyFont="1" applyAlignment="1">
      <alignment horizontal="left" vertical="top" wrapText="1"/>
    </xf>
    <xf numFmtId="6" fontId="54" fillId="0" borderId="0" xfId="569" applyNumberFormat="1" applyFont="1" applyAlignment="1">
      <alignment horizontal="right" vertical="top"/>
    </xf>
    <xf numFmtId="0" fontId="17" fillId="0" borderId="0" xfId="0" applyFont="1" applyAlignment="1">
      <alignment vertical="top" wrapText="1"/>
    </xf>
    <xf numFmtId="168" fontId="26" fillId="0" borderId="0" xfId="0" applyNumberFormat="1" applyFont="1" applyAlignment="1">
      <alignment horizontal="right"/>
    </xf>
    <xf numFmtId="168" fontId="26" fillId="0" borderId="28" xfId="540" applyNumberFormat="1" applyBorder="1" applyAlignment="1" applyProtection="1">
      <alignment horizontal="center"/>
    </xf>
    <xf numFmtId="168" fontId="26" fillId="0" borderId="29" xfId="540" applyNumberFormat="1" applyBorder="1" applyAlignment="1" applyProtection="1">
      <alignment horizontal="center"/>
    </xf>
    <xf numFmtId="168" fontId="26" fillId="0" borderId="30" xfId="540" applyNumberFormat="1" applyBorder="1" applyAlignment="1" applyProtection="1">
      <alignment horizontal="center"/>
    </xf>
    <xf numFmtId="168" fontId="26" fillId="0" borderId="31" xfId="540" applyNumberFormat="1" applyBorder="1" applyAlignment="1" applyProtection="1">
      <alignment horizontal="center"/>
    </xf>
    <xf numFmtId="168" fontId="26" fillId="0" borderId="32" xfId="540" applyNumberFormat="1" applyBorder="1" applyAlignment="1" applyProtection="1">
      <alignment horizontal="center"/>
    </xf>
    <xf numFmtId="168" fontId="26" fillId="0" borderId="33" xfId="540" applyNumberFormat="1" applyBorder="1" applyAlignment="1" applyProtection="1">
      <alignment horizontal="center"/>
    </xf>
    <xf numFmtId="168" fontId="26" fillId="0" borderId="34" xfId="540" applyNumberFormat="1" applyBorder="1" applyAlignment="1" applyProtection="1">
      <alignment horizontal="center"/>
    </xf>
    <xf numFmtId="168" fontId="26" fillId="0" borderId="35" xfId="540" applyNumberFormat="1" applyBorder="1" applyAlignment="1" applyProtection="1">
      <alignment horizontal="center"/>
    </xf>
    <xf numFmtId="168" fontId="26" fillId="0" borderId="36" xfId="540" applyNumberFormat="1" applyBorder="1" applyAlignment="1" applyProtection="1">
      <alignment horizontal="center"/>
    </xf>
    <xf numFmtId="168" fontId="26" fillId="0" borderId="37" xfId="540" applyNumberFormat="1" applyBorder="1" applyAlignment="1" applyProtection="1">
      <alignment horizontal="center"/>
    </xf>
    <xf numFmtId="168" fontId="26" fillId="0" borderId="38" xfId="540" applyNumberFormat="1" applyBorder="1" applyAlignment="1" applyProtection="1">
      <alignment horizontal="center"/>
    </xf>
    <xf numFmtId="168" fontId="26" fillId="0" borderId="39" xfId="540" applyNumberFormat="1" applyBorder="1" applyAlignment="1" applyProtection="1">
      <alignment horizontal="center"/>
    </xf>
    <xf numFmtId="168" fontId="26" fillId="0" borderId="40" xfId="540" applyNumberFormat="1" applyBorder="1" applyAlignment="1" applyProtection="1">
      <alignment horizontal="center"/>
    </xf>
    <xf numFmtId="168" fontId="26" fillId="0" borderId="0" xfId="540" applyNumberFormat="1" applyAlignment="1" applyProtection="1">
      <alignment horizontal="center"/>
    </xf>
    <xf numFmtId="168" fontId="26" fillId="0" borderId="14" xfId="540" applyNumberFormat="1" applyBorder="1" applyAlignment="1" applyProtection="1">
      <alignment horizontal="center"/>
    </xf>
    <xf numFmtId="168" fontId="26" fillId="0" borderId="41" xfId="540" applyNumberFormat="1" applyBorder="1" applyAlignment="1" applyProtection="1">
      <alignment horizontal="center"/>
    </xf>
    <xf numFmtId="168" fontId="26" fillId="0" borderId="42" xfId="540" applyNumberFormat="1" applyBorder="1" applyAlignment="1" applyProtection="1">
      <alignment horizontal="center"/>
    </xf>
    <xf numFmtId="168" fontId="26" fillId="0" borderId="43" xfId="540" applyNumberFormat="1" applyBorder="1" applyAlignment="1" applyProtection="1">
      <alignment horizontal="center"/>
    </xf>
    <xf numFmtId="168" fontId="26" fillId="0" borderId="44" xfId="540" applyNumberFormat="1" applyBorder="1" applyAlignment="1" applyProtection="1">
      <alignment horizontal="center"/>
    </xf>
    <xf numFmtId="0" fontId="17" fillId="0" borderId="0" xfId="1192"/>
    <xf numFmtId="0" fontId="17" fillId="0" borderId="0" xfId="0" applyFont="1" applyAlignment="1">
      <alignment wrapText="1"/>
    </xf>
    <xf numFmtId="0" fontId="46" fillId="0" borderId="0" xfId="0" applyFont="1" applyAlignment="1">
      <alignment horizontal="left" vertical="top"/>
    </xf>
    <xf numFmtId="0" fontId="46" fillId="0" borderId="0" xfId="0" applyFont="1" applyAlignment="1">
      <alignment vertical="top"/>
    </xf>
    <xf numFmtId="0" fontId="17" fillId="0" borderId="0" xfId="569" applyAlignment="1">
      <alignment horizontal="center"/>
    </xf>
    <xf numFmtId="0" fontId="35" fillId="0" borderId="0" xfId="569" applyFont="1" applyAlignment="1">
      <alignment horizontal="left"/>
    </xf>
    <xf numFmtId="0" fontId="35" fillId="0" borderId="0" xfId="569" applyFont="1" applyAlignment="1">
      <alignment horizontal="center"/>
    </xf>
    <xf numFmtId="49" fontId="24" fillId="0" borderId="0" xfId="569" applyNumberFormat="1" applyFont="1" applyAlignment="1">
      <alignment horizontal="center"/>
    </xf>
    <xf numFmtId="0" fontId="51" fillId="0" borderId="0" xfId="569" applyFont="1" applyAlignment="1">
      <alignment horizontal="center"/>
    </xf>
    <xf numFmtId="0" fontId="17" fillId="5" borderId="6" xfId="569" applyFill="1" applyBorder="1" applyProtection="1">
      <protection locked="0"/>
    </xf>
    <xf numFmtId="0" fontId="18" fillId="0" borderId="0" xfId="244" applyAlignment="1" applyProtection="1">
      <alignment horizontal="center"/>
    </xf>
    <xf numFmtId="49" fontId="17" fillId="0" borderId="0" xfId="569" applyNumberFormat="1" applyAlignment="1">
      <alignment horizontal="center"/>
    </xf>
    <xf numFmtId="0" fontId="17" fillId="0" borderId="0" xfId="569" applyAlignment="1">
      <alignment horizontal="center" vertical="center"/>
    </xf>
    <xf numFmtId="0" fontId="17" fillId="0" borderId="0" xfId="1192" applyAlignment="1">
      <alignment horizontal="center"/>
    </xf>
    <xf numFmtId="0" fontId="24" fillId="0" borderId="0" xfId="569" applyFont="1" applyAlignment="1">
      <alignment horizontal="center"/>
    </xf>
    <xf numFmtId="0" fontId="17" fillId="0" borderId="0" xfId="569" applyAlignment="1">
      <alignment horizontal="left" indent="4"/>
    </xf>
    <xf numFmtId="0" fontId="17" fillId="0" borderId="0" xfId="569" quotePrefix="1" applyAlignment="1">
      <alignment horizontal="left"/>
    </xf>
    <xf numFmtId="0" fontId="35" fillId="0" borderId="0" xfId="569" applyFont="1"/>
    <xf numFmtId="0" fontId="17" fillId="0" borderId="0" xfId="1192" applyAlignment="1" applyProtection="1">
      <alignment horizontal="left"/>
      <protection locked="0"/>
    </xf>
    <xf numFmtId="0" fontId="17" fillId="0" borderId="0" xfId="569" applyAlignment="1" applyProtection="1">
      <alignment horizontal="left"/>
      <protection locked="0"/>
    </xf>
    <xf numFmtId="49" fontId="17" fillId="0" borderId="0" xfId="1192" applyNumberFormat="1" applyAlignment="1">
      <alignment horizontal="center"/>
    </xf>
    <xf numFmtId="0" fontId="51" fillId="0" borderId="0" xfId="1192" applyFont="1" applyAlignment="1">
      <alignment horizontal="center"/>
    </xf>
    <xf numFmtId="0" fontId="24" fillId="0" borderId="0" xfId="1192" applyFont="1" applyAlignment="1">
      <alignment horizontal="left"/>
    </xf>
    <xf numFmtId="4" fontId="17" fillId="0" borderId="0" xfId="1192" applyNumberFormat="1" applyAlignment="1">
      <alignment horizontal="left"/>
    </xf>
    <xf numFmtId="0" fontId="24" fillId="0" borderId="0" xfId="569" quotePrefix="1" applyFont="1" applyAlignment="1">
      <alignment horizontal="center"/>
    </xf>
    <xf numFmtId="49" fontId="17" fillId="0" borderId="0" xfId="569" applyNumberFormat="1"/>
    <xf numFmtId="0" fontId="49" fillId="0" borderId="0" xfId="569" applyFont="1" applyAlignment="1">
      <alignment horizontal="left"/>
    </xf>
    <xf numFmtId="4" fontId="51" fillId="0" borderId="0" xfId="569" applyNumberFormat="1" applyFont="1" applyAlignment="1">
      <alignment horizontal="center"/>
    </xf>
    <xf numFmtId="4" fontId="17" fillId="0" borderId="0" xfId="569" applyNumberFormat="1" applyAlignment="1">
      <alignment horizontal="center"/>
    </xf>
    <xf numFmtId="4" fontId="17" fillId="0" borderId="0" xfId="569" applyNumberFormat="1"/>
    <xf numFmtId="0" fontId="47" fillId="0" borderId="0" xfId="569" applyFont="1" applyAlignment="1">
      <alignment horizontal="left"/>
    </xf>
    <xf numFmtId="0" fontId="18" fillId="0" borderId="0" xfId="244" applyNumberFormat="1" applyFill="1" applyAlignment="1" applyProtection="1">
      <alignment horizontal="left"/>
      <protection locked="0"/>
    </xf>
    <xf numFmtId="0" fontId="53" fillId="0" borderId="11" xfId="0" applyFont="1" applyBorder="1" applyAlignment="1" applyProtection="1">
      <alignment horizontal="right" vertical="top" wrapText="1"/>
      <protection locked="0"/>
    </xf>
    <xf numFmtId="168" fontId="56" fillId="44" borderId="11" xfId="0" applyNumberFormat="1" applyFont="1" applyFill="1" applyBorder="1" applyAlignment="1">
      <alignment vertical="top" wrapText="1"/>
    </xf>
    <xf numFmtId="0" fontId="17" fillId="0" borderId="11" xfId="271" applyFont="1" applyBorder="1" applyAlignment="1">
      <alignment horizontal="right" vertical="top" wrapText="1"/>
    </xf>
    <xf numFmtId="0" fontId="25" fillId="0" borderId="0" xfId="569" applyFont="1" applyAlignment="1">
      <alignment horizontal="left"/>
    </xf>
    <xf numFmtId="0" fontId="105" fillId="0" borderId="0" xfId="0" applyFont="1"/>
    <xf numFmtId="0" fontId="116" fillId="0" borderId="0" xfId="0" applyFont="1" applyAlignment="1">
      <alignment horizontal="left" vertical="top"/>
    </xf>
    <xf numFmtId="0" fontId="117" fillId="0" borderId="0" xfId="0" applyFont="1" applyAlignment="1">
      <alignment horizontal="left" vertical="top"/>
    </xf>
    <xf numFmtId="168" fontId="25" fillId="0" borderId="0" xfId="0" applyNumberFormat="1" applyFont="1" applyAlignment="1">
      <alignment horizontal="left" vertical="top" wrapText="1"/>
    </xf>
    <xf numFmtId="168" fontId="53" fillId="5" borderId="11" xfId="0" applyNumberFormat="1" applyFont="1" applyFill="1" applyBorder="1" applyAlignment="1">
      <alignment vertical="top" wrapText="1"/>
    </xf>
    <xf numFmtId="0" fontId="17" fillId="0" borderId="0" xfId="271" applyFont="1" applyAlignment="1">
      <alignment horizontal="left" vertical="top"/>
    </xf>
    <xf numFmtId="0" fontId="53" fillId="0" borderId="0" xfId="569" applyFont="1"/>
    <xf numFmtId="0" fontId="17" fillId="0" borderId="0" xfId="0" applyFont="1" applyAlignment="1">
      <alignment horizontal="left" vertical="top"/>
    </xf>
    <xf numFmtId="4" fontId="17" fillId="0" borderId="0" xfId="1192" applyNumberFormat="1" applyAlignment="1">
      <alignment vertical="top" wrapText="1"/>
    </xf>
    <xf numFmtId="0" fontId="24" fillId="0" borderId="16" xfId="271" applyFont="1" applyBorder="1"/>
    <xf numFmtId="0" fontId="60" fillId="0" borderId="0" xfId="569" applyFont="1"/>
    <xf numFmtId="0" fontId="41" fillId="0" borderId="0" xfId="569" applyFont="1"/>
    <xf numFmtId="0" fontId="17" fillId="0" borderId="0" xfId="1192" applyAlignment="1">
      <alignment vertical="top" wrapText="1"/>
    </xf>
    <xf numFmtId="49" fontId="17" fillId="0" borderId="0" xfId="1192" applyNumberFormat="1" applyAlignment="1">
      <alignment vertical="top" wrapText="1"/>
    </xf>
    <xf numFmtId="0" fontId="55" fillId="0" borderId="9" xfId="543" applyFont="1" applyBorder="1" applyAlignment="1">
      <alignment vertical="top"/>
    </xf>
    <xf numFmtId="0" fontId="17" fillId="0" borderId="0" xfId="0" applyFont="1" applyAlignment="1">
      <alignment vertical="center"/>
    </xf>
    <xf numFmtId="0" fontId="118" fillId="0" borderId="0" xfId="0" applyFont="1"/>
    <xf numFmtId="3" fontId="105" fillId="0" borderId="0" xfId="0" applyNumberFormat="1" applyFont="1"/>
    <xf numFmtId="0" fontId="105" fillId="0" borderId="0" xfId="0" applyFont="1" applyAlignment="1">
      <alignment horizontal="left"/>
    </xf>
    <xf numFmtId="168" fontId="119" fillId="0" borderId="0" xfId="0" applyNumberFormat="1" applyFont="1" applyAlignment="1">
      <alignment horizontal="left" vertical="top"/>
    </xf>
    <xf numFmtId="0" fontId="105" fillId="0" borderId="0" xfId="0" applyFont="1" applyAlignment="1">
      <alignment horizontal="left" vertical="center"/>
    </xf>
    <xf numFmtId="0" fontId="121" fillId="0" borderId="0" xfId="0" applyFont="1"/>
    <xf numFmtId="172" fontId="17" fillId="0" borderId="8" xfId="543" applyNumberFormat="1" applyBorder="1"/>
    <xf numFmtId="0" fontId="17" fillId="0" borderId="8" xfId="4495" applyFont="1" applyBorder="1"/>
    <xf numFmtId="0" fontId="17" fillId="0" borderId="0" xfId="4495" applyFont="1"/>
    <xf numFmtId="0" fontId="23" fillId="0" borderId="0" xfId="4495" applyFont="1" applyAlignment="1">
      <alignment horizontal="center" vertical="center"/>
    </xf>
    <xf numFmtId="0" fontId="24" fillId="0" borderId="0" xfId="4495" applyFont="1" applyAlignment="1">
      <alignment horizontal="left"/>
    </xf>
    <xf numFmtId="0" fontId="24" fillId="0" borderId="0" xfId="4495" applyFont="1"/>
    <xf numFmtId="0" fontId="27" fillId="0" borderId="0" xfId="4495" applyFont="1" applyAlignment="1">
      <alignment horizontal="center" vertical="center"/>
    </xf>
    <xf numFmtId="0" fontId="27" fillId="0" borderId="27" xfId="4495" applyFont="1" applyBorder="1" applyAlignment="1">
      <alignment horizontal="center" vertical="center"/>
    </xf>
    <xf numFmtId="0" fontId="27" fillId="0" borderId="46" xfId="4495" applyFont="1" applyBorder="1" applyAlignment="1">
      <alignment horizontal="center" vertical="center"/>
    </xf>
    <xf numFmtId="0" fontId="24" fillId="0" borderId="0" xfId="4495" applyFont="1" applyAlignment="1">
      <alignment horizontal="right"/>
    </xf>
    <xf numFmtId="0" fontId="35" fillId="0" borderId="0" xfId="4495" applyFont="1" applyAlignment="1">
      <alignment horizontal="left" vertical="center"/>
    </xf>
    <xf numFmtId="0" fontId="17" fillId="0" borderId="0" xfId="1192" quotePrefix="1" applyAlignment="1">
      <alignment horizontal="center"/>
    </xf>
    <xf numFmtId="0" fontId="47" fillId="0" borderId="0" xfId="4495" applyFont="1" applyAlignment="1">
      <alignment horizontal="left" vertical="center"/>
    </xf>
    <xf numFmtId="49" fontId="25" fillId="0" borderId="0" xfId="4495" applyNumberFormat="1" applyFont="1" applyAlignment="1">
      <alignment horizontal="left" vertical="top"/>
    </xf>
    <xf numFmtId="0" fontId="17" fillId="0" borderId="47" xfId="4495" applyFont="1" applyBorder="1" applyAlignment="1">
      <alignment horizontal="left" vertical="center"/>
    </xf>
    <xf numFmtId="0" fontId="27" fillId="0" borderId="48" xfId="4495" applyFont="1" applyBorder="1" applyAlignment="1">
      <alignment horizontal="center" vertical="center"/>
    </xf>
    <xf numFmtId="0" fontId="25" fillId="0" borderId="0" xfId="4495" applyFont="1"/>
    <xf numFmtId="0" fontId="25" fillId="0" borderId="0" xfId="4495" applyFont="1" applyAlignment="1">
      <alignment horizontal="left" vertical="top"/>
    </xf>
    <xf numFmtId="0" fontId="123" fillId="0" borderId="53" xfId="4496" applyFont="1" applyBorder="1" applyAlignment="1">
      <alignment horizontal="left" vertical="top"/>
    </xf>
    <xf numFmtId="0" fontId="122" fillId="0" borderId="0" xfId="4496" applyFont="1" applyAlignment="1">
      <alignment horizontal="left" vertical="top" wrapText="1"/>
    </xf>
    <xf numFmtId="0" fontId="122" fillId="0" borderId="54" xfId="4496" applyFont="1" applyBorder="1" applyAlignment="1">
      <alignment horizontal="left" vertical="top" wrapText="1"/>
    </xf>
    <xf numFmtId="0" fontId="17" fillId="0" borderId="0" xfId="4495" applyFont="1" applyAlignment="1">
      <alignment horizontal="left" vertical="center"/>
    </xf>
    <xf numFmtId="0" fontId="124" fillId="0" borderId="0" xfId="4496" applyFont="1" applyAlignment="1">
      <alignment vertical="center"/>
    </xf>
    <xf numFmtId="0" fontId="122" fillId="0" borderId="0" xfId="4496" applyFont="1"/>
    <xf numFmtId="0" fontId="122" fillId="0" borderId="0" xfId="4496" applyFont="1" applyAlignment="1">
      <alignment vertical="center"/>
    </xf>
    <xf numFmtId="0" fontId="125" fillId="0" borderId="0" xfId="4496" applyFont="1" applyAlignment="1">
      <alignment vertical="center"/>
    </xf>
    <xf numFmtId="0" fontId="17" fillId="0" borderId="0" xfId="4496" applyFont="1" applyAlignment="1">
      <alignment vertical="center"/>
    </xf>
    <xf numFmtId="0" fontId="25" fillId="0" borderId="3" xfId="4495" applyFont="1" applyBorder="1" applyAlignment="1">
      <alignment vertical="top" wrapText="1"/>
    </xf>
    <xf numFmtId="0" fontId="25" fillId="0" borderId="4" xfId="4495" applyFont="1" applyBorder="1" applyAlignment="1">
      <alignment vertical="top" wrapText="1"/>
    </xf>
    <xf numFmtId="164" fontId="120" fillId="0" borderId="4" xfId="4495" applyNumberFormat="1" applyBorder="1" applyAlignment="1">
      <alignment horizontal="right"/>
    </xf>
    <xf numFmtId="0" fontId="25" fillId="0" borderId="4" xfId="4495" applyFont="1" applyBorder="1"/>
    <xf numFmtId="0" fontId="24" fillId="0" borderId="5" xfId="4495" applyFont="1" applyBorder="1" applyAlignment="1">
      <alignment horizontal="right"/>
    </xf>
    <xf numFmtId="0" fontId="17" fillId="0" borderId="16" xfId="4495" applyFont="1" applyBorder="1"/>
    <xf numFmtId="0" fontId="17" fillId="0" borderId="16" xfId="4495" applyFont="1" applyBorder="1" applyAlignment="1">
      <alignment horizontal="left" vertical="top"/>
    </xf>
    <xf numFmtId="0" fontId="25" fillId="0" borderId="16" xfId="4495" applyFont="1" applyBorder="1" applyAlignment="1">
      <alignment horizontal="left" vertical="top" wrapText="1"/>
    </xf>
    <xf numFmtId="0" fontId="25" fillId="0" borderId="45" xfId="4495" applyFont="1" applyBorder="1" applyAlignment="1">
      <alignment horizontal="left" vertical="top" wrapText="1"/>
    </xf>
    <xf numFmtId="0" fontId="120" fillId="0" borderId="0" xfId="4495"/>
    <xf numFmtId="0" fontId="18" fillId="0" borderId="0" xfId="244" applyFill="1" applyBorder="1" applyAlignment="1" applyProtection="1">
      <alignment horizontal="left" vertical="top"/>
    </xf>
    <xf numFmtId="0" fontId="18" fillId="0" borderId="0" xfId="244" applyFill="1" applyBorder="1" applyAlignment="1" applyProtection="1">
      <alignment horizontal="left" vertical="top" wrapText="1"/>
    </xf>
    <xf numFmtId="0" fontId="25" fillId="0" borderId="0" xfId="4495" applyFont="1" applyAlignment="1">
      <alignment horizontal="left" vertical="top" wrapText="1"/>
    </xf>
    <xf numFmtId="0" fontId="25" fillId="0" borderId="0" xfId="4495" applyFont="1" applyAlignment="1">
      <alignment horizontal="right" vertical="top"/>
    </xf>
    <xf numFmtId="0" fontId="17" fillId="0" borderId="0" xfId="4495" applyFont="1" applyAlignment="1">
      <alignment vertical="center" wrapText="1"/>
    </xf>
    <xf numFmtId="0" fontId="122" fillId="0" borderId="53" xfId="4496" applyFont="1" applyBorder="1" applyAlignment="1">
      <alignment vertical="top" wrapText="1"/>
    </xf>
    <xf numFmtId="0" fontId="122" fillId="0" borderId="0" xfId="4496" applyFont="1" applyAlignment="1">
      <alignment vertical="top" wrapText="1"/>
    </xf>
    <xf numFmtId="10" fontId="122" fillId="0" borderId="0" xfId="4496" applyNumberFormat="1" applyFont="1" applyAlignment="1">
      <alignment vertical="top" wrapText="1"/>
    </xf>
    <xf numFmtId="0" fontId="122" fillId="0" borderId="54" xfId="4496" applyFont="1" applyBorder="1" applyAlignment="1">
      <alignment vertical="top" wrapText="1"/>
    </xf>
    <xf numFmtId="0" fontId="122" fillId="0" borderId="0" xfId="4496" applyFont="1" applyAlignment="1">
      <alignment vertical="top"/>
    </xf>
    <xf numFmtId="165" fontId="122" fillId="0" borderId="0" xfId="4496" applyNumberFormat="1" applyFont="1" applyAlignment="1">
      <alignment vertical="top" wrapText="1"/>
    </xf>
    <xf numFmtId="0" fontId="24" fillId="0" borderId="57" xfId="4495" applyFont="1" applyBorder="1"/>
    <xf numFmtId="0" fontId="24" fillId="0" borderId="58" xfId="4495" applyFont="1" applyBorder="1"/>
    <xf numFmtId="0" fontId="24" fillId="0" borderId="58" xfId="4495" applyFont="1" applyBorder="1" applyAlignment="1">
      <alignment horizontal="right"/>
    </xf>
    <xf numFmtId="0" fontId="24" fillId="0" borderId="59" xfId="4495" applyFont="1" applyBorder="1" applyAlignment="1">
      <alignment horizontal="right"/>
    </xf>
    <xf numFmtId="0" fontId="122" fillId="0" borderId="53" xfId="4496" applyFont="1" applyBorder="1" applyAlignment="1">
      <alignment horizontal="left" vertical="top" wrapText="1"/>
    </xf>
    <xf numFmtId="0" fontId="122" fillId="0" borderId="0" xfId="4496" applyFont="1" applyAlignment="1">
      <alignment horizontal="left" vertical="top"/>
    </xf>
    <xf numFmtId="0" fontId="27" fillId="0" borderId="57" xfId="4495" applyFont="1" applyBorder="1" applyAlignment="1">
      <alignment horizontal="center" vertical="center"/>
    </xf>
    <xf numFmtId="0" fontId="27" fillId="0" borderId="58" xfId="4495" applyFont="1" applyBorder="1" applyAlignment="1">
      <alignment horizontal="center" vertical="center"/>
    </xf>
    <xf numFmtId="0" fontId="27" fillId="0" borderId="59" xfId="4495" applyFont="1" applyBorder="1" applyAlignment="1">
      <alignment horizontal="center" vertical="center"/>
    </xf>
    <xf numFmtId="0" fontId="24" fillId="0" borderId="0" xfId="4495" applyFont="1" applyAlignment="1">
      <alignment horizontal="center"/>
    </xf>
    <xf numFmtId="0" fontId="24" fillId="0" borderId="8" xfId="4495" applyFont="1" applyBorder="1"/>
    <xf numFmtId="0" fontId="25" fillId="0" borderId="0" xfId="4495" applyFont="1" applyAlignment="1">
      <alignment horizontal="left"/>
    </xf>
    <xf numFmtId="0" fontId="24" fillId="0" borderId="0" xfId="4495" applyFont="1" applyAlignment="1">
      <alignment horizontal="center" vertical="top"/>
    </xf>
    <xf numFmtId="0" fontId="17" fillId="0" borderId="0" xfId="4495" applyFont="1" applyAlignment="1">
      <alignment horizontal="center"/>
    </xf>
    <xf numFmtId="0" fontId="33" fillId="0" borderId="0" xfId="4495" applyFont="1"/>
    <xf numFmtId="0" fontId="25" fillId="0" borderId="8" xfId="4495" applyFont="1" applyBorder="1"/>
    <xf numFmtId="0" fontId="53" fillId="0" borderId="8" xfId="4495" applyFont="1" applyBorder="1"/>
    <xf numFmtId="1" fontId="17" fillId="0" borderId="0" xfId="1192" applyNumberFormat="1"/>
    <xf numFmtId="0" fontId="17" fillId="0" borderId="3" xfId="4495" applyFont="1" applyBorder="1"/>
    <xf numFmtId="0" fontId="17" fillId="0" borderId="4" xfId="4495" applyFont="1" applyBorder="1"/>
    <xf numFmtId="0" fontId="17" fillId="0" borderId="0" xfId="1192" applyAlignment="1">
      <alignment wrapText="1"/>
    </xf>
    <xf numFmtId="0" fontId="25" fillId="0" borderId="0" xfId="4495" applyFont="1" applyAlignment="1">
      <alignment vertical="top" wrapText="1"/>
    </xf>
    <xf numFmtId="0" fontId="25" fillId="0" borderId="0" xfId="1192" applyFont="1"/>
    <xf numFmtId="0" fontId="17" fillId="0" borderId="0" xfId="4495" applyFont="1" applyAlignment="1">
      <alignment horizontal="left"/>
    </xf>
    <xf numFmtId="0" fontId="25" fillId="0" borderId="3" xfId="4495" applyFont="1" applyBorder="1"/>
    <xf numFmtId="0" fontId="17" fillId="0" borderId="4" xfId="4495" applyFont="1" applyBorder="1" applyAlignment="1">
      <alignment horizontal="right"/>
    </xf>
    <xf numFmtId="1" fontId="17" fillId="0" borderId="0" xfId="4495" applyNumberFormat="1" applyFont="1" applyAlignment="1">
      <alignment horizontal="center"/>
    </xf>
    <xf numFmtId="0" fontId="53" fillId="0" borderId="0" xfId="4495" applyFont="1"/>
    <xf numFmtId="0" fontId="17" fillId="0" borderId="0" xfId="4495" applyFont="1" applyAlignment="1">
      <alignment horizontal="right"/>
    </xf>
    <xf numFmtId="0" fontId="25" fillId="0" borderId="0" xfId="4495" applyFont="1" applyAlignment="1">
      <alignment vertical="top"/>
    </xf>
    <xf numFmtId="0" fontId="25" fillId="0" borderId="27" xfId="4495" applyFont="1" applyBorder="1"/>
    <xf numFmtId="0" fontId="24" fillId="0" borderId="0" xfId="4495" applyFont="1" applyAlignment="1">
      <alignment vertical="top"/>
    </xf>
    <xf numFmtId="0" fontId="35" fillId="0" borderId="0" xfId="4495" applyFont="1" applyAlignment="1">
      <alignment vertical="top" wrapText="1"/>
    </xf>
    <xf numFmtId="0" fontId="24" fillId="0" borderId="0" xfId="4495" applyFont="1" applyAlignment="1">
      <alignment horizontal="left" vertical="top" wrapText="1"/>
    </xf>
    <xf numFmtId="0" fontId="17" fillId="0" borderId="0" xfId="4495" applyFont="1" applyAlignment="1">
      <alignment horizontal="left" vertical="top"/>
    </xf>
    <xf numFmtId="0" fontId="35" fillId="0" borderId="0" xfId="4495" applyFont="1" applyAlignment="1">
      <alignment vertical="top"/>
    </xf>
    <xf numFmtId="0" fontId="17" fillId="0" borderId="10" xfId="4495" applyFont="1" applyBorder="1" applyAlignment="1">
      <alignment horizontal="center"/>
    </xf>
    <xf numFmtId="0" fontId="17" fillId="0" borderId="16" xfId="4495" applyFont="1" applyBorder="1" applyAlignment="1">
      <alignment horizontal="center"/>
    </xf>
    <xf numFmtId="0" fontId="33" fillId="0" borderId="16" xfId="4495" applyFont="1" applyBorder="1"/>
    <xf numFmtId="0" fontId="25" fillId="0" borderId="16" xfId="4495" applyFont="1" applyBorder="1"/>
    <xf numFmtId="0" fontId="17" fillId="0" borderId="0" xfId="4496" applyFont="1" applyAlignment="1">
      <alignment vertical="top" wrapText="1"/>
    </xf>
    <xf numFmtId="0" fontId="24" fillId="0" borderId="0" xfId="1192" applyFont="1" applyAlignment="1">
      <alignment horizontal="right"/>
    </xf>
    <xf numFmtId="0" fontId="17" fillId="0" borderId="0" xfId="4496" applyFont="1"/>
    <xf numFmtId="0" fontId="17" fillId="0" borderId="0" xfId="4496" applyFont="1" applyAlignment="1">
      <alignment horizontal="left"/>
    </xf>
    <xf numFmtId="0" fontId="17" fillId="0" borderId="0" xfId="4496" applyFont="1" applyAlignment="1">
      <alignment horizontal="right"/>
    </xf>
    <xf numFmtId="0" fontId="25" fillId="0" borderId="0" xfId="4496" applyFont="1" applyAlignment="1">
      <alignment vertical="top" wrapText="1"/>
    </xf>
    <xf numFmtId="0" fontId="17" fillId="0" borderId="4" xfId="4496" applyFont="1" applyBorder="1"/>
    <xf numFmtId="0" fontId="24" fillId="0" borderId="4" xfId="4496" applyFont="1" applyBorder="1" applyAlignment="1">
      <alignment horizontal="right"/>
    </xf>
    <xf numFmtId="0" fontId="25" fillId="0" borderId="27" xfId="4495" applyFont="1" applyBorder="1" applyAlignment="1">
      <alignment horizontal="left" vertical="top"/>
    </xf>
    <xf numFmtId="0" fontId="17" fillId="0" borderId="27" xfId="4495" applyFont="1" applyBorder="1" applyAlignment="1">
      <alignment horizontal="left" vertical="top"/>
    </xf>
    <xf numFmtId="0" fontId="24" fillId="0" borderId="27" xfId="4495" applyFont="1" applyBorder="1" applyAlignment="1">
      <alignment horizontal="right"/>
    </xf>
    <xf numFmtId="0" fontId="17" fillId="0" borderId="27" xfId="4495" applyFont="1" applyBorder="1" applyAlignment="1">
      <alignment horizontal="center"/>
    </xf>
    <xf numFmtId="0" fontId="17" fillId="0" borderId="46" xfId="4495" applyFont="1" applyBorder="1" applyAlignment="1">
      <alignment horizontal="center"/>
    </xf>
    <xf numFmtId="164" fontId="25" fillId="0" borderId="0" xfId="4495" applyNumberFormat="1" applyFont="1" applyAlignment="1">
      <alignment horizontal="left" vertical="top" wrapText="1"/>
    </xf>
    <xf numFmtId="0" fontId="28" fillId="0" borderId="0" xfId="4495" applyFont="1"/>
    <xf numFmtId="0" fontId="25" fillId="0" borderId="0" xfId="4495" applyFont="1" applyAlignment="1">
      <alignment horizontal="right"/>
    </xf>
    <xf numFmtId="0" fontId="17" fillId="0" borderId="27" xfId="543" applyBorder="1"/>
    <xf numFmtId="0" fontId="17" fillId="0" borderId="46" xfId="543" applyBorder="1"/>
    <xf numFmtId="0" fontId="24" fillId="0" borderId="0" xfId="4495" applyFont="1" applyAlignment="1">
      <alignment horizontal="left" vertical="top"/>
    </xf>
    <xf numFmtId="1" fontId="120" fillId="0" borderId="0" xfId="4495" applyNumberFormat="1"/>
    <xf numFmtId="0" fontId="17" fillId="0" borderId="0" xfId="4495" applyFont="1" applyAlignment="1">
      <alignment vertical="top" wrapText="1"/>
    </xf>
    <xf numFmtId="0" fontId="17" fillId="0" borderId="0" xfId="4495" applyFont="1" applyAlignment="1">
      <alignment horizontal="left" vertical="top" wrapText="1"/>
    </xf>
    <xf numFmtId="0" fontId="17" fillId="0" borderId="50" xfId="4495" applyFont="1" applyBorder="1" applyAlignment="1">
      <alignment vertical="top"/>
    </xf>
    <xf numFmtId="0" fontId="17" fillId="0" borderId="51" xfId="4495" applyFont="1" applyBorder="1" applyAlignment="1">
      <alignment vertical="top"/>
    </xf>
    <xf numFmtId="0" fontId="17" fillId="0" borderId="52" xfId="4495" applyFont="1" applyBorder="1" applyAlignment="1">
      <alignment vertical="top"/>
    </xf>
    <xf numFmtId="1" fontId="25" fillId="0" borderId="8" xfId="4495" applyNumberFormat="1" applyFont="1" applyBorder="1"/>
    <xf numFmtId="0" fontId="17" fillId="0" borderId="0" xfId="543" applyAlignment="1">
      <alignment vertical="top"/>
    </xf>
    <xf numFmtId="0" fontId="25" fillId="0" borderId="51" xfId="4495" applyFont="1" applyBorder="1" applyAlignment="1">
      <alignment horizontal="left" vertical="top"/>
    </xf>
    <xf numFmtId="0" fontId="25" fillId="0" borderId="52" xfId="4495" applyFont="1" applyBorder="1" applyAlignment="1">
      <alignment horizontal="left" vertical="top"/>
    </xf>
    <xf numFmtId="0" fontId="120" fillId="0" borderId="0" xfId="4495" applyAlignment="1" applyProtection="1">
      <alignment horizontal="center"/>
      <protection locked="0"/>
    </xf>
    <xf numFmtId="0" fontId="17" fillId="0" borderId="53" xfId="4495" applyFont="1" applyBorder="1" applyAlignment="1">
      <alignment vertical="top"/>
    </xf>
    <xf numFmtId="0" fontId="17" fillId="0" borderId="54" xfId="4495" applyFont="1" applyBorder="1" applyAlignment="1">
      <alignment vertical="top" wrapText="1"/>
    </xf>
    <xf numFmtId="0" fontId="61" fillId="0" borderId="53" xfId="4495" applyFont="1" applyBorder="1"/>
    <xf numFmtId="0" fontId="25" fillId="0" borderId="54" xfId="4495" applyFont="1" applyBorder="1" applyAlignment="1">
      <alignment horizontal="left" vertical="top"/>
    </xf>
    <xf numFmtId="0" fontId="17" fillId="0" borderId="53" xfId="4495" applyFont="1" applyBorder="1" applyAlignment="1">
      <alignment vertical="center" wrapText="1"/>
    </xf>
    <xf numFmtId="0" fontId="61" fillId="0" borderId="57" xfId="4495" applyFont="1" applyBorder="1"/>
    <xf numFmtId="0" fontId="25" fillId="0" borderId="58" xfId="4495" applyFont="1" applyBorder="1" applyAlignment="1">
      <alignment horizontal="left" vertical="top"/>
    </xf>
    <xf numFmtId="0" fontId="25" fillId="0" borderId="12" xfId="4495" applyFont="1" applyBorder="1"/>
    <xf numFmtId="0" fontId="17" fillId="0" borderId="57" xfId="4495" applyFont="1" applyBorder="1" applyAlignment="1">
      <alignment vertical="center"/>
    </xf>
    <xf numFmtId="0" fontId="17" fillId="0" borderId="58" xfId="4495" applyFont="1" applyBorder="1" applyAlignment="1">
      <alignment vertical="top"/>
    </xf>
    <xf numFmtId="0" fontId="17" fillId="0" borderId="59" xfId="4495" applyFont="1" applyBorder="1" applyAlignment="1">
      <alignment vertical="top"/>
    </xf>
    <xf numFmtId="0" fontId="17" fillId="0" borderId="0" xfId="4495" applyFont="1" applyAlignment="1">
      <alignment vertical="top"/>
    </xf>
    <xf numFmtId="0" fontId="25" fillId="0" borderId="4" xfId="4495" applyFont="1" applyBorder="1" applyAlignment="1">
      <alignment horizontal="left" vertical="top"/>
    </xf>
    <xf numFmtId="0" fontId="17" fillId="0" borderId="4" xfId="4495" applyFont="1" applyBorder="1" applyAlignment="1">
      <alignment horizontal="left" vertical="top"/>
    </xf>
    <xf numFmtId="0" fontId="17" fillId="0" borderId="2" xfId="4495" applyFont="1" applyBorder="1"/>
    <xf numFmtId="0" fontId="25" fillId="0" borderId="2" xfId="4495" applyFont="1" applyBorder="1"/>
    <xf numFmtId="0" fontId="17" fillId="0" borderId="2" xfId="4495" applyFont="1" applyBorder="1" applyAlignment="1">
      <alignment horizontal="center"/>
    </xf>
    <xf numFmtId="0" fontId="25" fillId="0" borderId="7" xfId="4495" applyFont="1" applyBorder="1"/>
    <xf numFmtId="0" fontId="33" fillId="0" borderId="0" xfId="4495" applyFont="1" applyAlignment="1">
      <alignment horizontal="right"/>
    </xf>
    <xf numFmtId="0" fontId="126" fillId="0" borderId="0" xfId="4495" applyFont="1" applyAlignment="1">
      <alignment horizontal="left" vertical="top" wrapText="1"/>
    </xf>
    <xf numFmtId="0" fontId="33" fillId="0" borderId="0" xfId="4495" applyFont="1" applyAlignment="1">
      <alignment horizontal="left" vertical="top"/>
    </xf>
    <xf numFmtId="0" fontId="25" fillId="0" borderId="0" xfId="4495" quotePrefix="1" applyFont="1" applyAlignment="1">
      <alignment horizontal="right"/>
    </xf>
    <xf numFmtId="0" fontId="17" fillId="0" borderId="0" xfId="4497"/>
    <xf numFmtId="0" fontId="25" fillId="0" borderId="0" xfId="4495" applyFont="1" applyAlignment="1">
      <alignment horizontal="left" vertical="top" wrapText="1" shrinkToFit="1"/>
    </xf>
    <xf numFmtId="0" fontId="120" fillId="0" borderId="0" xfId="4495" applyAlignment="1">
      <alignment vertical="top" wrapText="1"/>
    </xf>
    <xf numFmtId="0" fontId="25" fillId="0" borderId="4" xfId="4495" applyFont="1" applyBorder="1" applyAlignment="1">
      <alignment horizontal="left" vertical="top" wrapText="1" shrinkToFit="1"/>
    </xf>
    <xf numFmtId="0" fontId="33" fillId="0" borderId="8" xfId="4495" applyFont="1" applyBorder="1"/>
    <xf numFmtId="0" fontId="25" fillId="0" borderId="0" xfId="4495" applyFont="1" applyAlignment="1">
      <alignment horizontal="center"/>
    </xf>
    <xf numFmtId="0" fontId="25" fillId="0" borderId="0" xfId="4495" quotePrefix="1" applyFont="1"/>
    <xf numFmtId="0" fontId="25" fillId="0" borderId="0" xfId="4495" applyFont="1" applyAlignment="1">
      <alignment horizontal="left" vertical="top" shrinkToFit="1"/>
    </xf>
    <xf numFmtId="0" fontId="47" fillId="0" borderId="0" xfId="4495" applyFont="1"/>
    <xf numFmtId="0" fontId="25" fillId="0" borderId="3" xfId="4495" applyFont="1" applyBorder="1" applyAlignment="1">
      <alignment horizontal="center"/>
    </xf>
    <xf numFmtId="0" fontId="120" fillId="0" borderId="8" xfId="4495" applyBorder="1"/>
    <xf numFmtId="0" fontId="24" fillId="0" borderId="8" xfId="4495" applyFont="1" applyBorder="1" applyAlignment="1">
      <alignment vertical="top"/>
    </xf>
    <xf numFmtId="0" fontId="120" fillId="0" borderId="0" xfId="4495" applyAlignment="1">
      <alignment vertical="top"/>
    </xf>
    <xf numFmtId="0" fontId="24" fillId="0" borderId="4" xfId="4495" applyFont="1" applyBorder="1" applyAlignment="1">
      <alignment horizontal="center" vertical="top"/>
    </xf>
    <xf numFmtId="0" fontId="126" fillId="0" borderId="0" xfId="4495" applyFont="1" applyAlignment="1">
      <alignment horizontal="left" vertical="top"/>
    </xf>
    <xf numFmtId="0" fontId="126" fillId="0" borderId="4" xfId="4495" applyFont="1" applyBorder="1" applyAlignment="1">
      <alignment horizontal="left" vertical="top"/>
    </xf>
    <xf numFmtId="168" fontId="17" fillId="0" borderId="0" xfId="4497" applyNumberFormat="1"/>
    <xf numFmtId="1" fontId="25" fillId="0" borderId="0" xfId="4495" applyNumberFormat="1" applyFont="1" applyAlignment="1">
      <alignment horizontal="center" vertical="top"/>
    </xf>
    <xf numFmtId="0" fontId="130" fillId="0" borderId="0" xfId="4495" applyFont="1" applyAlignment="1">
      <alignment vertical="top" wrapText="1"/>
    </xf>
    <xf numFmtId="0" fontId="130" fillId="0" borderId="0" xfId="4495" applyFont="1" applyAlignment="1">
      <alignment horizontal="left" vertical="top" wrapText="1"/>
    </xf>
    <xf numFmtId="0" fontId="25" fillId="0" borderId="6" xfId="4495" applyFont="1" applyBorder="1"/>
    <xf numFmtId="1" fontId="25" fillId="0" borderId="8" xfId="4495" applyNumberFormat="1" applyFont="1" applyBorder="1" applyAlignment="1">
      <alignment horizontal="center" vertical="top"/>
    </xf>
    <xf numFmtId="0" fontId="120" fillId="0" borderId="12" xfId="4495" applyBorder="1"/>
    <xf numFmtId="0" fontId="25" fillId="0" borderId="9" xfId="4495" applyFont="1" applyBorder="1"/>
    <xf numFmtId="0" fontId="120" fillId="0" borderId="10" xfId="4495" applyBorder="1"/>
    <xf numFmtId="0" fontId="33" fillId="0" borderId="3" xfId="4495" applyFont="1" applyBorder="1"/>
    <xf numFmtId="0" fontId="24" fillId="0" borderId="4" xfId="4495" applyFont="1" applyBorder="1"/>
    <xf numFmtId="0" fontId="120" fillId="0" borderId="12" xfId="4495" applyBorder="1" applyAlignment="1">
      <alignment vertical="top"/>
    </xf>
    <xf numFmtId="0" fontId="33" fillId="0" borderId="1" xfId="4495" applyFont="1" applyBorder="1"/>
    <xf numFmtId="0" fontId="130" fillId="0" borderId="2" xfId="4495" applyFont="1" applyBorder="1" applyAlignment="1">
      <alignment horizontal="left" wrapText="1"/>
    </xf>
    <xf numFmtId="0" fontId="130" fillId="0" borderId="2" xfId="4495" applyFont="1" applyBorder="1" applyAlignment="1">
      <alignment horizontal="left"/>
    </xf>
    <xf numFmtId="0" fontId="130" fillId="0" borderId="7" xfId="4495" applyFont="1" applyBorder="1" applyAlignment="1">
      <alignment horizontal="left" wrapText="1"/>
    </xf>
    <xf numFmtId="0" fontId="130" fillId="0" borderId="0" xfId="4495" applyFont="1" applyAlignment="1">
      <alignment horizontal="left" wrapText="1"/>
    </xf>
    <xf numFmtId="0" fontId="33" fillId="0" borderId="9" xfId="4495" applyFont="1" applyBorder="1"/>
    <xf numFmtId="0" fontId="25" fillId="0" borderId="10" xfId="4495" applyFont="1" applyBorder="1"/>
    <xf numFmtId="0" fontId="130" fillId="0" borderId="0" xfId="4495" applyFont="1" applyAlignment="1">
      <alignment wrapText="1"/>
    </xf>
    <xf numFmtId="0" fontId="33" fillId="0" borderId="9" xfId="4495" applyFont="1" applyBorder="1" applyAlignment="1">
      <alignment horizontal="center"/>
    </xf>
    <xf numFmtId="0" fontId="24" fillId="0" borderId="10" xfId="4495" applyFont="1" applyBorder="1"/>
    <xf numFmtId="0" fontId="35" fillId="0" borderId="0" xfId="4495" applyFont="1"/>
    <xf numFmtId="0" fontId="25" fillId="0" borderId="50" xfId="4495" applyFont="1" applyBorder="1"/>
    <xf numFmtId="0" fontId="25" fillId="0" borderId="51" xfId="4495" applyFont="1" applyBorder="1"/>
    <xf numFmtId="1" fontId="25" fillId="0" borderId="51" xfId="4495" quotePrefix="1" applyNumberFormat="1" applyFont="1" applyBorder="1" applyAlignment="1">
      <alignment horizontal="center" vertical="top"/>
    </xf>
    <xf numFmtId="0" fontId="24" fillId="0" borderId="51" xfId="4495" applyFont="1" applyBorder="1"/>
    <xf numFmtId="0" fontId="24" fillId="0" borderId="52" xfId="4495" applyFont="1" applyBorder="1" applyAlignment="1">
      <alignment horizontal="center"/>
    </xf>
    <xf numFmtId="0" fontId="17" fillId="0" borderId="53" xfId="4495" applyFont="1" applyBorder="1"/>
    <xf numFmtId="1" fontId="25" fillId="0" borderId="0" xfId="4495" quotePrefix="1" applyNumberFormat="1" applyFont="1" applyAlignment="1">
      <alignment horizontal="center" vertical="top"/>
    </xf>
    <xf numFmtId="0" fontId="24" fillId="0" borderId="54" xfId="4495" applyFont="1" applyBorder="1" applyAlignment="1">
      <alignment horizontal="center"/>
    </xf>
    <xf numFmtId="0" fontId="33" fillId="0" borderId="0" xfId="4495" applyFont="1" applyAlignment="1">
      <alignment vertical="top"/>
    </xf>
    <xf numFmtId="0" fontId="25" fillId="0" borderId="61" xfId="4495" applyFont="1" applyBorder="1"/>
    <xf numFmtId="0" fontId="120" fillId="0" borderId="58" xfId="4495" applyBorder="1" applyAlignment="1">
      <alignment horizontal="center"/>
    </xf>
    <xf numFmtId="1" fontId="25" fillId="0" borderId="58" xfId="4495" quotePrefix="1" applyNumberFormat="1" applyFont="1" applyBorder="1" applyAlignment="1">
      <alignment horizontal="center" vertical="top"/>
    </xf>
    <xf numFmtId="0" fontId="33" fillId="0" borderId="58" xfId="4495" applyFont="1" applyBorder="1" applyAlignment="1">
      <alignment vertical="top"/>
    </xf>
    <xf numFmtId="0" fontId="25" fillId="0" borderId="58" xfId="4495" applyFont="1" applyBorder="1" applyAlignment="1">
      <alignment vertical="top" wrapText="1"/>
    </xf>
    <xf numFmtId="0" fontId="25" fillId="0" borderId="58" xfId="4495" applyFont="1" applyBorder="1"/>
    <xf numFmtId="0" fontId="24" fillId="0" borderId="58" xfId="4495" applyFont="1" applyBorder="1" applyAlignment="1">
      <alignment horizontal="center"/>
    </xf>
    <xf numFmtId="0" fontId="120" fillId="0" borderId="61" xfId="4495" applyBorder="1"/>
    <xf numFmtId="0" fontId="120" fillId="0" borderId="0" xfId="4495" applyAlignment="1">
      <alignment horizontal="center"/>
    </xf>
    <xf numFmtId="0" fontId="17" fillId="0" borderId="53" xfId="543" applyBorder="1"/>
    <xf numFmtId="0" fontId="25" fillId="0" borderId="54" xfId="4495" applyFont="1" applyBorder="1"/>
    <xf numFmtId="0" fontId="17" fillId="0" borderId="58" xfId="543" applyBorder="1"/>
    <xf numFmtId="1" fontId="25" fillId="0" borderId="58" xfId="4495" applyNumberFormat="1" applyFont="1" applyBorder="1" applyAlignment="1">
      <alignment horizontal="center" vertical="top"/>
    </xf>
    <xf numFmtId="0" fontId="33" fillId="0" borderId="58" xfId="4495" applyFont="1" applyBorder="1" applyAlignment="1">
      <alignment vertical="center"/>
    </xf>
    <xf numFmtId="0" fontId="120" fillId="0" borderId="58" xfId="4495" applyBorder="1" applyAlignment="1">
      <alignment vertical="top" wrapText="1"/>
    </xf>
    <xf numFmtId="0" fontId="17" fillId="0" borderId="58" xfId="4495" applyFont="1" applyBorder="1"/>
    <xf numFmtId="0" fontId="33" fillId="0" borderId="0" xfId="4495" applyFont="1" applyAlignment="1">
      <alignment vertical="center"/>
    </xf>
    <xf numFmtId="0" fontId="25" fillId="0" borderId="53" xfId="4495" applyFont="1" applyBorder="1"/>
    <xf numFmtId="0" fontId="17" fillId="0" borderId="57" xfId="543" applyBorder="1"/>
    <xf numFmtId="0" fontId="25" fillId="0" borderId="58" xfId="4495" applyFont="1" applyBorder="1" applyAlignment="1">
      <alignment vertical="top"/>
    </xf>
    <xf numFmtId="0" fontId="25" fillId="0" borderId="59" xfId="4495" applyFont="1" applyBorder="1"/>
    <xf numFmtId="0" fontId="25" fillId="0" borderId="57" xfId="4495" applyFont="1" applyBorder="1"/>
    <xf numFmtId="0" fontId="17" fillId="0" borderId="51" xfId="4495" applyFont="1" applyBorder="1"/>
    <xf numFmtId="0" fontId="25" fillId="0" borderId="52" xfId="4495" applyFont="1" applyBorder="1"/>
    <xf numFmtId="0" fontId="17" fillId="0" borderId="50" xfId="543" applyBorder="1"/>
    <xf numFmtId="0" fontId="17" fillId="0" borderId="51" xfId="543" applyBorder="1"/>
    <xf numFmtId="0" fontId="17" fillId="0" borderId="52" xfId="543" applyBorder="1"/>
    <xf numFmtId="0" fontId="25" fillId="0" borderId="0" xfId="4495" applyFont="1" applyAlignment="1">
      <alignment wrapText="1"/>
    </xf>
    <xf numFmtId="0" fontId="24" fillId="0" borderId="54" xfId="4495" applyFont="1" applyBorder="1" applyAlignment="1">
      <alignment horizontal="center" vertical="top"/>
    </xf>
    <xf numFmtId="0" fontId="120" fillId="0" borderId="53" xfId="4495" applyBorder="1" applyAlignment="1">
      <alignment horizontal="center"/>
    </xf>
    <xf numFmtId="2" fontId="25" fillId="0" borderId="0" xfId="4495" applyNumberFormat="1" applyFont="1" applyAlignment="1">
      <alignment horizontal="right"/>
    </xf>
    <xf numFmtId="2" fontId="25" fillId="0" borderId="8" xfId="4495" applyNumberFormat="1" applyFont="1" applyBorder="1" applyAlignment="1">
      <alignment horizontal="left"/>
    </xf>
    <xf numFmtId="0" fontId="25" fillId="0" borderId="8" xfId="4495" applyFont="1" applyBorder="1" applyAlignment="1">
      <alignment horizontal="right"/>
    </xf>
    <xf numFmtId="0" fontId="129" fillId="0" borderId="0" xfId="4495" applyFont="1"/>
    <xf numFmtId="0" fontId="120" fillId="0" borderId="57" xfId="4495" applyBorder="1" applyAlignment="1">
      <alignment horizontal="center"/>
    </xf>
    <xf numFmtId="0" fontId="24" fillId="0" borderId="59" xfId="4495" applyFont="1" applyBorder="1" applyAlignment="1">
      <alignment horizontal="center"/>
    </xf>
    <xf numFmtId="9" fontId="25" fillId="0" borderId="0" xfId="4495" applyNumberFormat="1" applyFont="1" applyAlignment="1">
      <alignment horizontal="left"/>
    </xf>
    <xf numFmtId="0" fontId="17" fillId="0" borderId="17" xfId="543" applyBorder="1"/>
    <xf numFmtId="0" fontId="17" fillId="0" borderId="16" xfId="543" applyBorder="1"/>
    <xf numFmtId="0" fontId="17" fillId="0" borderId="51" xfId="4495" quotePrefix="1" applyFont="1" applyBorder="1" applyAlignment="1">
      <alignment horizontal="center" vertical="top"/>
    </xf>
    <xf numFmtId="0" fontId="25" fillId="0" borderId="53" xfId="4495" applyFont="1" applyBorder="1" applyAlignment="1">
      <alignment horizontal="left" vertical="top"/>
    </xf>
    <xf numFmtId="0" fontId="25" fillId="0" borderId="0" xfId="4495" applyFont="1" applyAlignment="1">
      <alignment horizontal="center" vertical="top"/>
    </xf>
    <xf numFmtId="0" fontId="25" fillId="0" borderId="57" xfId="4495" applyFont="1" applyBorder="1" applyAlignment="1">
      <alignment horizontal="left" vertical="top"/>
    </xf>
    <xf numFmtId="0" fontId="25" fillId="0" borderId="58" xfId="4495" applyFont="1" applyBorder="1" applyAlignment="1">
      <alignment horizontal="center" vertical="top"/>
    </xf>
    <xf numFmtId="0" fontId="120" fillId="0" borderId="58" xfId="4495" applyBorder="1"/>
    <xf numFmtId="0" fontId="24" fillId="0" borderId="58" xfId="4495" applyFont="1" applyBorder="1" applyAlignment="1">
      <alignment vertical="top"/>
    </xf>
    <xf numFmtId="0" fontId="24" fillId="0" borderId="58" xfId="4495" applyFont="1" applyBorder="1" applyAlignment="1">
      <alignment horizontal="left" vertical="top"/>
    </xf>
    <xf numFmtId="0" fontId="24" fillId="0" borderId="51" xfId="4495" applyFont="1" applyBorder="1" applyAlignment="1">
      <alignment horizontal="left" vertical="top"/>
    </xf>
    <xf numFmtId="0" fontId="24" fillId="0" borderId="53" xfId="4495" applyFont="1" applyBorder="1" applyAlignment="1">
      <alignment horizontal="left" vertical="top"/>
    </xf>
    <xf numFmtId="0" fontId="53" fillId="0" borderId="0" xfId="4495" applyFont="1" applyAlignment="1">
      <alignment horizontal="left" vertical="top"/>
    </xf>
    <xf numFmtId="0" fontId="25" fillId="0" borderId="0" xfId="4495" quotePrefix="1" applyFont="1" applyAlignment="1">
      <alignment horizontal="center" vertical="top"/>
    </xf>
    <xf numFmtId="0" fontId="54" fillId="0" borderId="0" xfId="4495" applyFont="1" applyAlignment="1">
      <alignment horizontal="center"/>
    </xf>
    <xf numFmtId="0" fontId="54" fillId="0" borderId="0" xfId="4495" applyFont="1" applyAlignment="1">
      <alignment vertical="top"/>
    </xf>
    <xf numFmtId="0" fontId="107" fillId="0" borderId="0" xfId="4495" applyFont="1"/>
    <xf numFmtId="0" fontId="53" fillId="0" borderId="0" xfId="4495" applyFont="1" applyAlignment="1">
      <alignment vertical="top"/>
    </xf>
    <xf numFmtId="0" fontId="33" fillId="0" borderId="53" xfId="4495" applyFont="1" applyBorder="1"/>
    <xf numFmtId="2" fontId="25" fillId="0" borderId="8" xfId="4495" applyNumberFormat="1" applyFont="1" applyBorder="1" applyAlignment="1">
      <alignment horizontal="right"/>
    </xf>
    <xf numFmtId="0" fontId="24" fillId="0" borderId="50" xfId="4495" applyFont="1" applyBorder="1" applyAlignment="1">
      <alignment horizontal="left" vertical="top"/>
    </xf>
    <xf numFmtId="0" fontId="53" fillId="0" borderId="51" xfId="4495" applyFont="1" applyBorder="1" applyAlignment="1">
      <alignment horizontal="left" vertical="top"/>
    </xf>
    <xf numFmtId="0" fontId="120" fillId="0" borderId="53" xfId="4495" applyBorder="1"/>
    <xf numFmtId="0" fontId="107" fillId="0" borderId="0" xfId="4495" applyFont="1" applyAlignment="1">
      <alignment horizontal="left" vertical="top"/>
    </xf>
    <xf numFmtId="1" fontId="24" fillId="0" borderId="58" xfId="4495" applyNumberFormat="1" applyFont="1" applyBorder="1" applyAlignment="1">
      <alignment vertical="top"/>
    </xf>
    <xf numFmtId="172" fontId="24" fillId="0" borderId="8" xfId="543" applyNumberFormat="1" applyFont="1" applyBorder="1"/>
    <xf numFmtId="172" fontId="24" fillId="0" borderId="0" xfId="543" applyNumberFormat="1" applyFont="1"/>
    <xf numFmtId="0" fontId="33" fillId="0" borderId="0" xfId="4495" applyFont="1" applyAlignment="1">
      <alignment wrapText="1"/>
    </xf>
    <xf numFmtId="0" fontId="33" fillId="0" borderId="0" xfId="4495" applyFont="1" applyAlignment="1">
      <alignment horizontal="center"/>
    </xf>
    <xf numFmtId="0" fontId="33" fillId="0" borderId="0" xfId="4495" applyFont="1" applyAlignment="1">
      <alignment vertical="center" wrapText="1"/>
    </xf>
    <xf numFmtId="180" fontId="25" fillId="0" borderId="0" xfId="4495" applyNumberFormat="1" applyFont="1" applyAlignment="1">
      <alignment horizontal="center"/>
    </xf>
    <xf numFmtId="1" fontId="25" fillId="0" borderId="0" xfId="4495" applyNumberFormat="1" applyFont="1" applyAlignment="1">
      <alignment horizontal="center"/>
    </xf>
    <xf numFmtId="0" fontId="24" fillId="0" borderId="51" xfId="4495" applyFont="1" applyBorder="1" applyAlignment="1">
      <alignment horizontal="center"/>
    </xf>
    <xf numFmtId="0" fontId="24" fillId="0" borderId="51" xfId="4495" applyFont="1" applyBorder="1" applyAlignment="1">
      <alignment vertical="top"/>
    </xf>
    <xf numFmtId="0" fontId="24" fillId="0" borderId="53" xfId="4495" applyFont="1" applyBorder="1"/>
    <xf numFmtId="0" fontId="17" fillId="0" borderId="54" xfId="543" applyBorder="1"/>
    <xf numFmtId="49" fontId="25" fillId="0" borderId="0" xfId="4495" applyNumberFormat="1" applyFont="1" applyAlignment="1">
      <alignment horizontal="left" vertical="center" wrapText="1"/>
    </xf>
    <xf numFmtId="0" fontId="17" fillId="0" borderId="57" xfId="4495" applyFont="1" applyBorder="1"/>
    <xf numFmtId="1" fontId="17" fillId="0" borderId="0" xfId="4495" applyNumberFormat="1" applyFont="1" applyAlignment="1">
      <alignment vertical="center"/>
    </xf>
    <xf numFmtId="0" fontId="35" fillId="0" borderId="50" xfId="4495" applyFont="1" applyBorder="1"/>
    <xf numFmtId="0" fontId="25" fillId="0" borderId="51" xfId="4495" applyFont="1" applyBorder="1" applyAlignment="1">
      <alignment horizontal="center" vertical="top"/>
    </xf>
    <xf numFmtId="0" fontId="25" fillId="0" borderId="51" xfId="4495" applyFont="1" applyBorder="1" applyAlignment="1">
      <alignment vertical="top" wrapText="1"/>
    </xf>
    <xf numFmtId="0" fontId="25" fillId="0" borderId="51" xfId="4495" applyFont="1" applyBorder="1" applyAlignment="1">
      <alignment horizontal="left" vertical="top" wrapText="1"/>
    </xf>
    <xf numFmtId="0" fontId="17" fillId="0" borderId="0" xfId="4495" quotePrefix="1" applyFont="1" applyAlignment="1">
      <alignment horizontal="center" vertical="top"/>
    </xf>
    <xf numFmtId="1" fontId="25" fillId="0" borderId="0" xfId="4495" quotePrefix="1" applyNumberFormat="1" applyFont="1" applyAlignment="1">
      <alignment wrapText="1"/>
    </xf>
    <xf numFmtId="0" fontId="25" fillId="0" borderId="6" xfId="4495" applyFont="1" applyBorder="1" applyAlignment="1">
      <alignment horizontal="right"/>
    </xf>
    <xf numFmtId="0" fontId="122" fillId="0" borderId="0" xfId="4496" applyFont="1" applyAlignment="1">
      <alignment wrapText="1"/>
    </xf>
    <xf numFmtId="0" fontId="17" fillId="0" borderId="0" xfId="4496" applyFont="1" applyAlignment="1">
      <alignment wrapText="1"/>
    </xf>
    <xf numFmtId="0" fontId="33" fillId="0" borderId="51" xfId="4495" applyFont="1" applyBorder="1" applyAlignment="1">
      <alignment vertical="top"/>
    </xf>
    <xf numFmtId="0" fontId="17" fillId="0" borderId="51" xfId="4496" applyFont="1" applyBorder="1" applyAlignment="1">
      <alignment wrapText="1"/>
    </xf>
    <xf numFmtId="0" fontId="24" fillId="0" borderId="51" xfId="4495" applyFont="1" applyBorder="1" applyAlignment="1">
      <alignment horizontal="right"/>
    </xf>
    <xf numFmtId="0" fontId="17" fillId="0" borderId="52" xfId="4495" applyFont="1" applyBorder="1" applyAlignment="1">
      <alignment horizontal="center"/>
    </xf>
    <xf numFmtId="0" fontId="17" fillId="0" borderId="53" xfId="4495" applyFont="1" applyBorder="1" applyAlignment="1">
      <alignment horizontal="left" vertical="top"/>
    </xf>
    <xf numFmtId="0" fontId="17" fillId="0" borderId="54" xfId="4495" applyFont="1" applyBorder="1" applyAlignment="1">
      <alignment horizontal="left" vertical="top"/>
    </xf>
    <xf numFmtId="0" fontId="17" fillId="0" borderId="54" xfId="4495" applyFont="1" applyBorder="1" applyAlignment="1">
      <alignment horizontal="center"/>
    </xf>
    <xf numFmtId="0" fontId="17" fillId="0" borderId="59" xfId="4495" applyFont="1" applyBorder="1" applyAlignment="1">
      <alignment horizontal="center"/>
    </xf>
    <xf numFmtId="9" fontId="17" fillId="0" borderId="0" xfId="4496" applyNumberFormat="1" applyFont="1" applyAlignment="1">
      <alignment horizontal="center"/>
    </xf>
    <xf numFmtId="1" fontId="17" fillId="0" borderId="0" xfId="543" applyNumberFormat="1"/>
    <xf numFmtId="0" fontId="25" fillId="0" borderId="1" xfId="4495" applyFont="1" applyBorder="1"/>
    <xf numFmtId="0" fontId="24" fillId="0" borderId="0" xfId="4495" applyFont="1" applyAlignment="1">
      <alignment horizontal="center" wrapText="1"/>
    </xf>
    <xf numFmtId="0" fontId="24" fillId="0" borderId="9" xfId="4495" applyFont="1" applyBorder="1" applyAlignment="1">
      <alignment horizontal="left"/>
    </xf>
    <xf numFmtId="0" fontId="24" fillId="0" borderId="3" xfId="4495" applyFont="1" applyBorder="1" applyAlignment="1">
      <alignment horizontal="left"/>
    </xf>
    <xf numFmtId="0" fontId="24" fillId="0" borderId="4" xfId="4495" applyFont="1" applyBorder="1" applyAlignment="1">
      <alignment horizontal="left"/>
    </xf>
    <xf numFmtId="0" fontId="17" fillId="0" borderId="2" xfId="4495" applyFont="1" applyBorder="1" applyAlignment="1">
      <alignment horizontal="left"/>
    </xf>
    <xf numFmtId="0" fontId="24" fillId="0" borderId="2" xfId="4495" applyFont="1" applyBorder="1" applyAlignment="1">
      <alignment horizontal="left"/>
    </xf>
    <xf numFmtId="0" fontId="24" fillId="0" borderId="5" xfId="4495" applyFont="1" applyBorder="1" applyAlignment="1">
      <alignment horizontal="left"/>
    </xf>
    <xf numFmtId="180" fontId="64" fillId="0" borderId="0" xfId="4495" applyNumberFormat="1" applyFont="1" applyAlignment="1">
      <alignment horizontal="center" vertical="center"/>
    </xf>
    <xf numFmtId="0" fontId="17" fillId="0" borderId="12" xfId="4495" applyFont="1" applyBorder="1" applyAlignment="1">
      <alignment vertical="top"/>
    </xf>
    <xf numFmtId="0" fontId="47" fillId="0" borderId="0" xfId="4495" applyFont="1" applyAlignment="1">
      <alignment vertical="top" wrapText="1"/>
    </xf>
    <xf numFmtId="0" fontId="17" fillId="0" borderId="51" xfId="4495" applyFont="1" applyBorder="1" applyAlignment="1">
      <alignment horizontal="left" vertical="top" wrapText="1"/>
    </xf>
    <xf numFmtId="0" fontId="17" fillId="0" borderId="51" xfId="4495" applyFont="1" applyBorder="1" applyAlignment="1">
      <alignment horizontal="right"/>
    </xf>
    <xf numFmtId="0" fontId="17" fillId="0" borderId="52" xfId="4495" applyFont="1" applyBorder="1" applyAlignment="1">
      <alignment horizontal="right"/>
    </xf>
    <xf numFmtId="0" fontId="17" fillId="0" borderId="54" xfId="4495" applyFont="1" applyBorder="1" applyAlignment="1">
      <alignment horizontal="right"/>
    </xf>
    <xf numFmtId="0" fontId="17" fillId="0" borderId="58" xfId="4495" applyFont="1" applyBorder="1" applyAlignment="1">
      <alignment horizontal="left" vertical="top" wrapText="1"/>
    </xf>
    <xf numFmtId="0" fontId="17" fillId="0" borderId="58" xfId="4495" applyFont="1" applyBorder="1" applyAlignment="1">
      <alignment horizontal="right"/>
    </xf>
    <xf numFmtId="0" fontId="17" fillId="0" borderId="59" xfId="4495" applyFont="1" applyBorder="1" applyAlignment="1">
      <alignment horizontal="right"/>
    </xf>
    <xf numFmtId="0" fontId="47" fillId="0" borderId="0" xfId="4495" applyFont="1" applyAlignment="1">
      <alignment horizontal="left" vertical="top" wrapText="1"/>
    </xf>
    <xf numFmtId="0" fontId="17" fillId="0" borderId="0" xfId="1192" applyAlignment="1">
      <alignment horizontal="left" vertical="top"/>
    </xf>
    <xf numFmtId="0" fontId="35" fillId="0" borderId="0" xfId="1192" applyFont="1" applyAlignment="1">
      <alignment horizontal="left" vertical="top"/>
    </xf>
    <xf numFmtId="0" fontId="17" fillId="0" borderId="0" xfId="1192" applyAlignment="1">
      <alignment vertical="top"/>
    </xf>
    <xf numFmtId="168" fontId="17" fillId="0" borderId="0" xfId="1192" applyNumberFormat="1"/>
    <xf numFmtId="165" fontId="17" fillId="0" borderId="0" xfId="1192" applyNumberFormat="1"/>
    <xf numFmtId="165" fontId="17" fillId="0" borderId="0" xfId="1192" applyNumberFormat="1" applyAlignment="1">
      <alignment horizontal="right"/>
    </xf>
    <xf numFmtId="2" fontId="17" fillId="0" borderId="0" xfId="1192" applyNumberFormat="1"/>
    <xf numFmtId="6" fontId="17" fillId="0" borderId="0" xfId="1192" applyNumberFormat="1"/>
    <xf numFmtId="0" fontId="24" fillId="0" borderId="0" xfId="1192" applyFont="1"/>
    <xf numFmtId="0" fontId="47" fillId="0" borderId="0" xfId="1192" applyFont="1"/>
    <xf numFmtId="168" fontId="17" fillId="0" borderId="0" xfId="4495" applyNumberFormat="1" applyFont="1"/>
    <xf numFmtId="0" fontId="24" fillId="0" borderId="0" xfId="1192" applyFont="1" applyAlignment="1">
      <alignment vertical="center"/>
    </xf>
    <xf numFmtId="0" fontId="118" fillId="0" borderId="0" xfId="1192" applyFont="1" applyAlignment="1">
      <alignment horizontal="left"/>
    </xf>
    <xf numFmtId="0" fontId="115" fillId="0" borderId="0" xfId="1192" applyFont="1" applyAlignment="1">
      <alignment horizontal="left"/>
    </xf>
    <xf numFmtId="0" fontId="115" fillId="0" borderId="0" xfId="1192" applyFont="1" applyAlignment="1">
      <alignment horizontal="center"/>
    </xf>
    <xf numFmtId="168" fontId="17" fillId="0" borderId="0" xfId="1192" applyNumberFormat="1" applyAlignment="1">
      <alignment horizontal="center"/>
    </xf>
    <xf numFmtId="9" fontId="17" fillId="0" borderId="0" xfId="1192" applyNumberFormat="1"/>
    <xf numFmtId="0" fontId="17" fillId="0" borderId="0" xfId="1192" applyAlignment="1">
      <alignment horizontal="right"/>
    </xf>
    <xf numFmtId="0" fontId="17" fillId="0" borderId="53" xfId="4495" applyFont="1" applyBorder="1" applyAlignment="1">
      <alignment horizontal="left"/>
    </xf>
    <xf numFmtId="6" fontId="24" fillId="0" borderId="0" xfId="1192" applyNumberFormat="1" applyFont="1" applyAlignment="1">
      <alignment horizontal="right"/>
    </xf>
    <xf numFmtId="165" fontId="17" fillId="0" borderId="0" xfId="4495" applyNumberFormat="1" applyFont="1"/>
    <xf numFmtId="0" fontId="54" fillId="0" borderId="4" xfId="4495" applyFont="1" applyBorder="1"/>
    <xf numFmtId="0" fontId="37" fillId="0" borderId="0" xfId="543" applyFont="1" applyAlignment="1">
      <alignment vertical="center" wrapText="1"/>
    </xf>
    <xf numFmtId="1" fontId="24" fillId="0" borderId="13" xfId="271" applyNumberFormat="1" applyFont="1" applyBorder="1"/>
    <xf numFmtId="1" fontId="26" fillId="0" borderId="13" xfId="271" applyNumberFormat="1" applyBorder="1"/>
    <xf numFmtId="0" fontId="17" fillId="0" borderId="11" xfId="0" applyFont="1" applyBorder="1"/>
    <xf numFmtId="9" fontId="17" fillId="0" borderId="0" xfId="4495" applyNumberFormat="1" applyFont="1"/>
    <xf numFmtId="165" fontId="122" fillId="0" borderId="0" xfId="4496" applyNumberFormat="1" applyFont="1" applyAlignment="1">
      <alignment horizontal="center" vertical="top" wrapText="1"/>
    </xf>
    <xf numFmtId="168" fontId="122" fillId="0" borderId="0" xfId="4496" applyNumberFormat="1" applyFont="1" applyAlignment="1">
      <alignment vertical="top" wrapText="1"/>
    </xf>
    <xf numFmtId="165" fontId="122" fillId="0" borderId="64" xfId="4496" applyNumberFormat="1" applyFont="1" applyBorder="1" applyAlignment="1">
      <alignment horizontal="center" vertical="top" wrapText="1"/>
    </xf>
    <xf numFmtId="165" fontId="122" fillId="0" borderId="53" xfId="4496" applyNumberFormat="1" applyFont="1" applyBorder="1" applyAlignment="1">
      <alignment horizontal="left" vertical="top"/>
    </xf>
    <xf numFmtId="165" fontId="122" fillId="0" borderId="53" xfId="4496" applyNumberFormat="1" applyFont="1" applyBorder="1" applyAlignment="1">
      <alignment horizontal="center" vertical="top" wrapText="1"/>
    </xf>
    <xf numFmtId="168" fontId="122" fillId="0" borderId="0" xfId="4496" applyNumberFormat="1" applyFont="1" applyAlignment="1">
      <alignment vertical="top"/>
    </xf>
    <xf numFmtId="1" fontId="122" fillId="0" borderId="0" xfId="4496" applyNumberFormat="1" applyFont="1" applyAlignment="1">
      <alignment vertical="top" wrapText="1"/>
    </xf>
    <xf numFmtId="164" fontId="25" fillId="0" borderId="0" xfId="4495" applyNumberFormat="1" applyFont="1"/>
    <xf numFmtId="0" fontId="24" fillId="0" borderId="8" xfId="0" applyFont="1" applyBorder="1" applyAlignment="1">
      <alignment horizontal="center" vertical="center" wrapText="1"/>
    </xf>
    <xf numFmtId="0" fontId="24"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1" fillId="0" borderId="50" xfId="1192" applyFont="1" applyBorder="1" applyAlignment="1">
      <alignment horizontal="left"/>
    </xf>
    <xf numFmtId="0" fontId="142" fillId="0" borderId="51" xfId="4495" applyFont="1" applyBorder="1" applyAlignment="1">
      <alignment vertical="top"/>
    </xf>
    <xf numFmtId="0" fontId="141" fillId="0" borderId="51" xfId="4495" applyFont="1" applyBorder="1" applyAlignment="1">
      <alignment vertical="top" wrapText="1"/>
    </xf>
    <xf numFmtId="0" fontId="142" fillId="0" borderId="51" xfId="4495" applyFont="1" applyBorder="1"/>
    <xf numFmtId="0" fontId="142" fillId="0" borderId="53" xfId="1192" applyFont="1" applyBorder="1" applyAlignment="1">
      <alignment horizontal="left"/>
    </xf>
    <xf numFmtId="0" fontId="142" fillId="0" borderId="0" xfId="4495" applyFont="1" applyAlignment="1">
      <alignment vertical="top"/>
    </xf>
    <xf numFmtId="0" fontId="141" fillId="0" borderId="0" xfId="4495" applyFont="1" applyAlignment="1">
      <alignment vertical="top" wrapText="1"/>
    </xf>
    <xf numFmtId="0" fontId="142" fillId="0" borderId="0" xfId="4495" applyFont="1"/>
    <xf numFmtId="0" fontId="141" fillId="0" borderId="53" xfId="1192" applyFont="1" applyBorder="1" applyAlignment="1">
      <alignment horizontal="left"/>
    </xf>
    <xf numFmtId="0" fontId="141" fillId="0" borderId="57" xfId="1192" applyFont="1" applyBorder="1" applyAlignment="1">
      <alignment horizontal="left"/>
    </xf>
    <xf numFmtId="0" fontId="142" fillId="0" borderId="58" xfId="4495" applyFont="1" applyBorder="1" applyAlignment="1">
      <alignment vertical="top"/>
    </xf>
    <xf numFmtId="0" fontId="141" fillId="0" borderId="58" xfId="4495" applyFont="1" applyBorder="1" applyAlignment="1">
      <alignment vertical="top" wrapText="1"/>
    </xf>
    <xf numFmtId="0" fontId="142" fillId="0" borderId="58" xfId="4495" applyFont="1" applyBorder="1"/>
    <xf numFmtId="0" fontId="26" fillId="0" borderId="3" xfId="0" applyFont="1" applyBorder="1" applyAlignment="1">
      <alignment horizontal="center"/>
    </xf>
    <xf numFmtId="0" fontId="26" fillId="0" borderId="4" xfId="0" applyFont="1" applyBorder="1" applyAlignment="1">
      <alignment horizontal="center"/>
    </xf>
    <xf numFmtId="0" fontId="26" fillId="0" borderId="5" xfId="0" applyFont="1" applyBorder="1" applyAlignment="1">
      <alignment horizontal="center"/>
    </xf>
    <xf numFmtId="0" fontId="24" fillId="0" borderId="7" xfId="0" applyFont="1" applyBorder="1" applyAlignment="1">
      <alignment horizontal="right"/>
    </xf>
    <xf numFmtId="0" fontId="0" fillId="0" borderId="0" xfId="0" applyAlignment="1" applyProtection="1">
      <alignment horizontal="left" vertical="top" wrapText="1"/>
      <protection locked="0"/>
    </xf>
    <xf numFmtId="0" fontId="17" fillId="0" borderId="9" xfId="0" applyFont="1" applyBorder="1" applyAlignment="1">
      <alignment horizontal="left"/>
    </xf>
    <xf numFmtId="0" fontId="17" fillId="0" borderId="6" xfId="0" applyFont="1" applyBorder="1"/>
    <xf numFmtId="0" fontId="17" fillId="0" borderId="9" xfId="0" applyFont="1" applyBorder="1"/>
    <xf numFmtId="0" fontId="50" fillId="0" borderId="0" xfId="0" applyFont="1" applyAlignment="1">
      <alignment horizontal="center"/>
    </xf>
    <xf numFmtId="0" fontId="23" fillId="0" borderId="0" xfId="0" applyFont="1" applyAlignment="1">
      <alignment horizontal="center" vertical="center" wrapText="1"/>
    </xf>
    <xf numFmtId="0" fontId="32" fillId="0" borderId="0" xfId="0" applyFont="1" applyAlignment="1">
      <alignment horizontal="center"/>
    </xf>
    <xf numFmtId="0" fontId="25" fillId="0" borderId="0" xfId="0" applyFont="1" applyAlignment="1">
      <alignment horizontal="center"/>
    </xf>
    <xf numFmtId="0" fontId="24" fillId="0" borderId="3" xfId="0" applyFont="1" applyBorder="1"/>
    <xf numFmtId="0" fontId="24" fillId="0" borderId="4" xfId="271" applyFont="1" applyBorder="1"/>
    <xf numFmtId="0" fontId="24" fillId="0" borderId="3" xfId="271" applyFont="1" applyBorder="1"/>
    <xf numFmtId="0" fontId="24" fillId="0" borderId="5" xfId="271" applyFont="1" applyBorder="1"/>
    <xf numFmtId="0" fontId="17" fillId="0" borderId="58" xfId="4495" applyFont="1" applyBorder="1" applyAlignment="1">
      <alignment vertical="center" wrapText="1"/>
    </xf>
    <xf numFmtId="0" fontId="17" fillId="0" borderId="59" xfId="4495" applyFont="1" applyBorder="1" applyAlignment="1">
      <alignment vertical="center" wrapText="1"/>
    </xf>
    <xf numFmtId="0" fontId="17" fillId="0" borderId="0" xfId="4495" applyFont="1" applyAlignment="1">
      <alignment horizontal="left" vertical="center" wrapText="1"/>
    </xf>
    <xf numFmtId="0" fontId="24" fillId="0" borderId="5" xfId="0" applyFont="1" applyBorder="1"/>
    <xf numFmtId="168" fontId="22" fillId="43" borderId="0" xfId="0" applyNumberFormat="1" applyFont="1" applyFill="1"/>
    <xf numFmtId="9" fontId="25" fillId="0" borderId="0" xfId="543" applyNumberFormat="1" applyFont="1" applyAlignment="1">
      <alignment horizontal="center"/>
    </xf>
    <xf numFmtId="171" fontId="17" fillId="0" borderId="0" xfId="543" applyNumberFormat="1"/>
    <xf numFmtId="171" fontId="17" fillId="0" borderId="11" xfId="543" applyNumberFormat="1" applyBorder="1"/>
    <xf numFmtId="1" fontId="17" fillId="0" borderId="11" xfId="543" applyNumberFormat="1" applyBorder="1" applyAlignment="1">
      <alignment horizontal="center"/>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44" fillId="0" borderId="8" xfId="543" applyFont="1" applyBorder="1" applyAlignment="1">
      <alignment vertical="center" wrapText="1"/>
    </xf>
    <xf numFmtId="0" fontId="44" fillId="0" borderId="0" xfId="543" applyFont="1" applyAlignment="1">
      <alignment vertical="center" wrapText="1"/>
    </xf>
    <xf numFmtId="0" fontId="44" fillId="0" borderId="12" xfId="543" applyFont="1" applyBorder="1" applyAlignment="1">
      <alignment vertical="center" wrapText="1"/>
    </xf>
    <xf numFmtId="0" fontId="44" fillId="0" borderId="9" xfId="543" applyFont="1" applyBorder="1" applyAlignment="1">
      <alignment vertical="center" wrapText="1"/>
    </xf>
    <xf numFmtId="0" fontId="44" fillId="0" borderId="6" xfId="543" applyFont="1" applyBorder="1" applyAlignment="1">
      <alignment vertical="center" wrapText="1"/>
    </xf>
    <xf numFmtId="0" fontId="44" fillId="0" borderId="10" xfId="543" applyFont="1" applyBorder="1" applyAlignment="1">
      <alignment vertical="center" wrapText="1"/>
    </xf>
    <xf numFmtId="0" fontId="37" fillId="0" borderId="12" xfId="543" applyFont="1" applyBorder="1" applyAlignment="1">
      <alignment horizontal="center" vertical="top"/>
    </xf>
    <xf numFmtId="0" fontId="38" fillId="0" borderId="7" xfId="543" applyFont="1" applyBorder="1"/>
    <xf numFmtId="0" fontId="17" fillId="0" borderId="12" xfId="543" quotePrefix="1" applyBorder="1"/>
    <xf numFmtId="0" fontId="53" fillId="0" borderId="2" xfId="569" applyFont="1" applyBorder="1" applyAlignment="1">
      <alignment vertical="top"/>
    </xf>
    <xf numFmtId="0" fontId="27" fillId="0" borderId="0" xfId="4495" applyFont="1"/>
    <xf numFmtId="0" fontId="17" fillId="0" borderId="0" xfId="4495" applyFont="1" applyAlignment="1">
      <alignment vertical="top" wrapText="1" shrinkToFit="1"/>
    </xf>
    <xf numFmtId="0" fontId="146" fillId="0" borderId="0" xfId="4495" applyFont="1"/>
    <xf numFmtId="164" fontId="17" fillId="0" borderId="0" xfId="1192" applyNumberFormat="1" applyAlignment="1">
      <alignment horizontal="right"/>
    </xf>
    <xf numFmtId="164" fontId="17" fillId="0" borderId="0" xfId="4495" applyNumberFormat="1" applyFont="1" applyAlignment="1">
      <alignment horizontal="right"/>
    </xf>
    <xf numFmtId="0" fontId="17" fillId="0" borderId="0" xfId="4495" applyFont="1" applyAlignment="1">
      <alignment horizontal="left" vertical="top" wrapText="1" shrinkToFit="1"/>
    </xf>
    <xf numFmtId="0" fontId="17" fillId="0" borderId="6" xfId="4495" applyFont="1" applyBorder="1" applyAlignment="1">
      <alignment vertical="top" wrapText="1"/>
    </xf>
    <xf numFmtId="0" fontId="146" fillId="0" borderId="4" xfId="4495" applyFont="1" applyBorder="1"/>
    <xf numFmtId="0" fontId="17" fillId="0" borderId="4" xfId="4495" applyFont="1" applyBorder="1" applyAlignment="1">
      <alignment horizontal="left" vertical="top" wrapText="1" shrinkToFit="1"/>
    </xf>
    <xf numFmtId="0" fontId="27" fillId="0" borderId="0" xfId="4495" applyFont="1" applyAlignment="1">
      <alignment horizontal="left" vertical="top"/>
    </xf>
    <xf numFmtId="0" fontId="17" fillId="0" borderId="0" xfId="4495" applyFont="1" applyAlignment="1">
      <alignment vertical="center" wrapText="1" shrinkToFit="1"/>
    </xf>
    <xf numFmtId="0" fontId="17" fillId="0" borderId="0" xfId="4495" applyFont="1" applyAlignment="1">
      <alignment horizontal="left" vertical="top" shrinkToFit="1"/>
    </xf>
    <xf numFmtId="0" fontId="17" fillId="0" borderId="0" xfId="4495" applyFont="1" applyAlignment="1">
      <alignment horizontal="left" vertical="center" shrinkToFit="1"/>
    </xf>
    <xf numFmtId="0" fontId="27" fillId="0" borderId="4" xfId="4495" applyFont="1" applyBorder="1"/>
    <xf numFmtId="0" fontId="17" fillId="0" borderId="4" xfId="4495" applyFont="1" applyBorder="1" applyAlignment="1">
      <alignment horizontal="left" vertical="top" shrinkToFit="1"/>
    </xf>
    <xf numFmtId="0" fontId="17" fillId="0" borderId="0" xfId="4495" applyFont="1" applyAlignment="1">
      <alignment vertical="center"/>
    </xf>
    <xf numFmtId="0" fontId="23" fillId="0" borderId="0" xfId="4495" applyFont="1"/>
    <xf numFmtId="0" fontId="27" fillId="0" borderId="0" xfId="4495" applyFont="1" applyAlignment="1">
      <alignment horizontal="center"/>
    </xf>
    <xf numFmtId="0" fontId="17" fillId="0" borderId="4" xfId="4495" applyFont="1" applyBorder="1" applyAlignment="1">
      <alignment horizontal="left" vertical="top" wrapText="1"/>
    </xf>
    <xf numFmtId="44" fontId="17" fillId="0" borderId="0" xfId="707" applyFont="1" applyFill="1" applyBorder="1" applyAlignment="1" applyProtection="1">
      <alignment horizontal="left" vertical="top" wrapText="1"/>
    </xf>
    <xf numFmtId="44" fontId="17" fillId="0" borderId="4" xfId="707" applyFont="1" applyFill="1" applyBorder="1" applyAlignment="1" applyProtection="1">
      <alignment horizontal="left" vertical="top" wrapText="1"/>
    </xf>
    <xf numFmtId="164" fontId="35" fillId="0" borderId="0" xfId="4495" applyNumberFormat="1" applyFont="1" applyAlignment="1">
      <alignment horizontal="left"/>
    </xf>
    <xf numFmtId="0" fontId="27" fillId="0" borderId="0" xfId="4495" applyFont="1" applyAlignment="1">
      <alignment horizontal="left"/>
    </xf>
    <xf numFmtId="0" fontId="17" fillId="0" borderId="4" xfId="4495" applyFont="1" applyBorder="1" applyAlignment="1">
      <alignment vertical="top" wrapText="1"/>
    </xf>
    <xf numFmtId="0" fontId="27" fillId="0" borderId="4" xfId="4495" applyFont="1" applyBorder="1" applyAlignment="1">
      <alignment horizontal="left" vertical="top"/>
    </xf>
    <xf numFmtId="0" fontId="17" fillId="0" borderId="0" xfId="4495" applyFont="1" applyAlignment="1">
      <alignment horizontal="left" vertical="center" wrapText="1" shrinkToFit="1"/>
    </xf>
    <xf numFmtId="0" fontId="17" fillId="0" borderId="6" xfId="4495" applyFont="1" applyBorder="1" applyAlignment="1">
      <alignment horizontal="left" vertical="top" wrapText="1"/>
    </xf>
    <xf numFmtId="2" fontId="118" fillId="0" borderId="0" xfId="0" applyNumberFormat="1" applyFont="1" applyAlignment="1">
      <alignment horizontal="center"/>
    </xf>
    <xf numFmtId="9" fontId="17" fillId="0" borderId="0" xfId="4494" applyFont="1" applyAlignment="1">
      <alignment horizontal="center"/>
    </xf>
    <xf numFmtId="3" fontId="17" fillId="0" borderId="0" xfId="0" applyNumberFormat="1" applyFont="1"/>
    <xf numFmtId="10" fontId="17" fillId="0" borderId="0" xfId="0" applyNumberFormat="1" applyFont="1" applyAlignment="1">
      <alignment horizontal="center"/>
    </xf>
    <xf numFmtId="168" fontId="17" fillId="0" borderId="0" xfId="0" applyNumberFormat="1" applyFont="1"/>
    <xf numFmtId="172" fontId="17" fillId="0" borderId="11" xfId="0" applyNumberFormat="1" applyFont="1" applyBorder="1" applyAlignment="1">
      <alignment horizontal="center"/>
    </xf>
    <xf numFmtId="168" fontId="17" fillId="5" borderId="0" xfId="0" applyNumberFormat="1" applyFont="1" applyFill="1"/>
    <xf numFmtId="3" fontId="17" fillId="5" borderId="0" xfId="0" applyNumberFormat="1" applyFont="1" applyFill="1"/>
    <xf numFmtId="0" fontId="17" fillId="5" borderId="0" xfId="0" applyFont="1" applyFill="1"/>
    <xf numFmtId="3" fontId="17" fillId="5" borderId="6" xfId="0" applyNumberFormat="1" applyFont="1" applyFill="1" applyBorder="1"/>
    <xf numFmtId="3" fontId="17" fillId="0" borderId="6" xfId="0" applyNumberFormat="1" applyFont="1" applyBorder="1"/>
    <xf numFmtId="168" fontId="17" fillId="0" borderId="0" xfId="0" applyNumberFormat="1" applyFont="1" applyAlignment="1">
      <alignment horizontal="center"/>
    </xf>
    <xf numFmtId="3" fontId="17" fillId="0" borderId="0" xfId="0" applyNumberFormat="1" applyFont="1" applyAlignment="1">
      <alignment horizontal="center"/>
    </xf>
    <xf numFmtId="0" fontId="17" fillId="0" borderId="50" xfId="4495" applyFont="1" applyBorder="1" applyAlignment="1">
      <alignment vertical="center"/>
    </xf>
    <xf numFmtId="0" fontId="17" fillId="0" borderId="51" xfId="4495" applyFont="1" applyBorder="1" applyAlignment="1">
      <alignment vertical="center"/>
    </xf>
    <xf numFmtId="0" fontId="17" fillId="0" borderId="52" xfId="4495" applyFont="1" applyBorder="1" applyAlignment="1">
      <alignment vertical="center"/>
    </xf>
    <xf numFmtId="0" fontId="17" fillId="0" borderId="54" xfId="4495" applyFont="1" applyBorder="1" applyAlignment="1">
      <alignment vertical="center" wrapText="1"/>
    </xf>
    <xf numFmtId="0" fontId="17" fillId="0" borderId="53" xfId="4495" applyFont="1" applyBorder="1" applyAlignment="1">
      <alignment vertical="top" wrapText="1"/>
    </xf>
    <xf numFmtId="0" fontId="17" fillId="0" borderId="58" xfId="0" applyFont="1" applyBorder="1" applyAlignment="1">
      <alignment horizontal="left"/>
    </xf>
    <xf numFmtId="9" fontId="17" fillId="0" borderId="0" xfId="543" applyNumberFormat="1" applyAlignment="1">
      <alignment horizontal="center"/>
    </xf>
    <xf numFmtId="0" fontId="49" fillId="0" borderId="0" xfId="4496" applyFont="1"/>
    <xf numFmtId="168" fontId="53" fillId="5" borderId="11" xfId="0" applyNumberFormat="1" applyFont="1" applyFill="1" applyBorder="1" applyAlignment="1" applyProtection="1">
      <alignment vertical="top" wrapText="1"/>
      <protection locked="0"/>
    </xf>
    <xf numFmtId="0" fontId="17" fillId="0" borderId="0" xfId="0" applyFont="1" applyAlignment="1">
      <alignment horizontal="left" wrapText="1"/>
    </xf>
    <xf numFmtId="4" fontId="35" fillId="0" borderId="0" xfId="0" applyNumberFormat="1" applyFont="1" applyAlignment="1">
      <alignment horizontal="left"/>
    </xf>
    <xf numFmtId="4" fontId="17" fillId="0" borderId="0" xfId="0" applyNumberFormat="1" applyFont="1" applyAlignment="1">
      <alignment horizontal="left" vertical="top" wrapText="1"/>
    </xf>
    <xf numFmtId="0" fontId="24" fillId="0" borderId="4" xfId="0" applyFont="1" applyBorder="1" applyAlignment="1">
      <alignment horizontal="left"/>
    </xf>
    <xf numFmtId="4" fontId="17" fillId="0" borderId="0" xfId="0" applyNumberFormat="1" applyFont="1" applyAlignment="1">
      <alignment horizontal="left"/>
    </xf>
    <xf numFmtId="43" fontId="51" fillId="0" borderId="0" xfId="4503" applyFont="1" applyAlignment="1" applyProtection="1">
      <alignment horizontal="center"/>
    </xf>
    <xf numFmtId="43" fontId="17" fillId="0" borderId="0" xfId="4503" applyFont="1" applyAlignment="1" applyProtection="1">
      <alignment horizontal="center"/>
    </xf>
    <xf numFmtId="43" fontId="17" fillId="0" borderId="0" xfId="4503" applyFont="1" applyProtection="1"/>
    <xf numFmtId="49" fontId="17" fillId="0" borderId="0" xfId="0" applyNumberFormat="1" applyFont="1"/>
    <xf numFmtId="49" fontId="17" fillId="0" borderId="0" xfId="0" applyNumberFormat="1" applyFont="1" applyAlignment="1">
      <alignment horizontal="center"/>
    </xf>
    <xf numFmtId="4" fontId="17" fillId="0" borderId="0" xfId="0" applyNumberFormat="1" applyFont="1" applyAlignment="1">
      <alignment vertical="top" wrapText="1"/>
    </xf>
    <xf numFmtId="0" fontId="17" fillId="0" borderId="0" xfId="0" quotePrefix="1" applyFont="1"/>
    <xf numFmtId="0" fontId="47" fillId="0" borderId="0" xfId="0" applyFont="1" applyAlignment="1">
      <alignment horizontal="left"/>
    </xf>
    <xf numFmtId="0" fontId="17" fillId="0" borderId="4" xfId="0" applyFont="1" applyBorder="1" applyAlignment="1">
      <alignment horizontal="left"/>
    </xf>
    <xf numFmtId="0" fontId="17" fillId="0" borderId="0" xfId="0" quotePrefix="1" applyFont="1" applyAlignment="1">
      <alignment horizontal="left"/>
    </xf>
    <xf numFmtId="0" fontId="17" fillId="0" borderId="0" xfId="0" quotePrefix="1" applyFont="1" applyAlignment="1">
      <alignment horizontal="left" vertical="top"/>
    </xf>
    <xf numFmtId="0" fontId="47" fillId="0" borderId="0" xfId="1192" applyFont="1" applyAlignment="1">
      <alignment horizontal="left"/>
    </xf>
    <xf numFmtId="0" fontId="51" fillId="0" borderId="0" xfId="0" applyFont="1" applyAlignment="1">
      <alignment horizontal="center" vertical="center"/>
    </xf>
    <xf numFmtId="49" fontId="24" fillId="0" borderId="0" xfId="0" applyNumberFormat="1" applyFont="1" applyAlignment="1">
      <alignment horizontal="center" vertical="center"/>
    </xf>
    <xf numFmtId="49" fontId="17" fillId="0" borderId="0" xfId="0" applyNumberFormat="1" applyFont="1" applyAlignment="1">
      <alignment vertical="center"/>
    </xf>
    <xf numFmtId="4" fontId="17" fillId="0" borderId="0" xfId="0" applyNumberFormat="1" applyFont="1" applyAlignment="1">
      <alignment horizontal="center"/>
    </xf>
    <xf numFmtId="4" fontId="17" fillId="0" borderId="0" xfId="0" applyNumberFormat="1" applyFont="1"/>
    <xf numFmtId="10" fontId="17" fillId="0" borderId="0" xfId="4495" applyNumberFormat="1" applyFont="1"/>
    <xf numFmtId="10" fontId="122" fillId="0" borderId="0" xfId="4496" applyNumberFormat="1" applyFont="1" applyAlignment="1">
      <alignment horizontal="center" vertical="top" wrapText="1"/>
    </xf>
    <xf numFmtId="10" fontId="122" fillId="0" borderId="64" xfId="4496" applyNumberFormat="1" applyFont="1" applyBorder="1" applyAlignment="1">
      <alignment horizontal="center" vertical="top" wrapText="1"/>
    </xf>
    <xf numFmtId="10" fontId="122"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7" fillId="0" borderId="0" xfId="1192" quotePrefix="1" applyNumberFormat="1" applyAlignment="1">
      <alignment horizontal="center"/>
    </xf>
    <xf numFmtId="0" fontId="122" fillId="0" borderId="0" xfId="4495" applyFont="1"/>
    <xf numFmtId="10" fontId="122" fillId="0" borderId="0" xfId="4495" applyNumberFormat="1" applyFont="1"/>
    <xf numFmtId="172" fontId="17" fillId="0" borderId="0" xfId="4495" applyNumberFormat="1" applyFont="1"/>
    <xf numFmtId="0" fontId="40" fillId="0" borderId="0" xfId="0" applyFont="1" applyAlignment="1">
      <alignment horizontal="center"/>
    </xf>
    <xf numFmtId="0" fontId="36" fillId="0" borderId="0" xfId="0" applyFont="1" applyAlignment="1">
      <alignment horizontal="left"/>
    </xf>
    <xf numFmtId="0" fontId="0" fillId="0" borderId="10" xfId="0" applyBorder="1" applyAlignment="1">
      <alignment horizontal="left"/>
    </xf>
    <xf numFmtId="1" fontId="17" fillId="0" borderId="0" xfId="1192" applyNumberFormat="1" applyAlignment="1">
      <alignment horizontal="center"/>
    </xf>
    <xf numFmtId="0" fontId="120" fillId="0" borderId="63" xfId="4495" applyBorder="1"/>
    <xf numFmtId="0" fontId="53" fillId="0" borderId="0" xfId="271" applyFont="1" applyAlignment="1">
      <alignment vertical="top"/>
    </xf>
    <xf numFmtId="0" fontId="24" fillId="0" borderId="11" xfId="0" applyFont="1" applyBorder="1" applyAlignment="1">
      <alignment horizontal="right" vertical="top" wrapText="1"/>
    </xf>
    <xf numFmtId="0" fontId="26" fillId="0" borderId="11" xfId="271" applyBorder="1" applyAlignment="1" applyProtection="1">
      <alignment horizontal="right" vertical="top" wrapText="1"/>
      <protection locked="0"/>
    </xf>
    <xf numFmtId="0" fontId="17" fillId="0" borderId="54" xfId="4495" applyFont="1" applyBorder="1" applyAlignment="1">
      <alignment vertical="top"/>
    </xf>
    <xf numFmtId="9" fontId="26" fillId="0" borderId="0" xfId="0" applyNumberFormat="1" applyFont="1"/>
    <xf numFmtId="0" fontId="17" fillId="0" borderId="16" xfId="569" applyBorder="1" applyAlignment="1">
      <alignment horizontal="center"/>
    </xf>
    <xf numFmtId="164" fontId="17" fillId="0" borderId="57" xfId="4495" applyNumberFormat="1" applyFont="1" applyBorder="1" applyAlignment="1">
      <alignment vertical="top" wrapText="1"/>
    </xf>
    <xf numFmtId="164" fontId="17" fillId="0" borderId="58" xfId="4495" applyNumberFormat="1" applyFont="1" applyBorder="1" applyAlignment="1">
      <alignment vertical="top" wrapText="1"/>
    </xf>
    <xf numFmtId="164" fontId="17" fillId="0" borderId="59" xfId="4495" applyNumberFormat="1" applyFont="1" applyBorder="1" applyAlignment="1">
      <alignment vertical="top" wrapText="1"/>
    </xf>
    <xf numFmtId="0" fontId="24" fillId="0" borderId="0" xfId="1192" applyFont="1" applyAlignment="1">
      <alignment horizontal="left" vertical="top" wrapText="1"/>
    </xf>
    <xf numFmtId="0" fontId="17" fillId="0" borderId="16" xfId="569" applyBorder="1"/>
    <xf numFmtId="0" fontId="17" fillId="0" borderId="4" xfId="569" applyBorder="1"/>
    <xf numFmtId="0" fontId="24" fillId="0" borderId="4" xfId="569" applyFont="1" applyBorder="1"/>
    <xf numFmtId="49" fontId="17" fillId="0" borderId="4" xfId="569" applyNumberFormat="1" applyBorder="1"/>
    <xf numFmtId="0" fontId="149" fillId="0" borderId="0" xfId="0" applyFont="1"/>
    <xf numFmtId="0" fontId="17" fillId="0" borderId="0" xfId="0" applyFont="1" applyAlignment="1">
      <alignment horizontal="right"/>
    </xf>
    <xf numFmtId="1" fontId="17" fillId="0" borderId="0" xfId="0" applyNumberFormat="1" applyFont="1" applyAlignment="1">
      <alignment horizontal="center"/>
    </xf>
    <xf numFmtId="0" fontId="24" fillId="0" borderId="0" xfId="0" applyFont="1" applyAlignment="1">
      <alignment horizontal="left" vertical="center"/>
    </xf>
    <xf numFmtId="0" fontId="17" fillId="0" borderId="0" xfId="0" applyFont="1" applyAlignment="1">
      <alignment horizontal="left" vertical="center"/>
    </xf>
    <xf numFmtId="0" fontId="24" fillId="0" borderId="0" xfId="569" applyFont="1" applyAlignment="1">
      <alignment vertical="top"/>
    </xf>
    <xf numFmtId="0" fontId="18" fillId="0" borderId="0" xfId="244" applyAlignment="1"/>
    <xf numFmtId="0" fontId="24" fillId="0" borderId="0" xfId="0" applyFont="1" applyAlignment="1">
      <alignment vertical="top" wrapText="1"/>
    </xf>
    <xf numFmtId="49" fontId="24" fillId="0" borderId="0" xfId="0" applyNumberFormat="1" applyFont="1"/>
    <xf numFmtId="49" fontId="24" fillId="0" borderId="0" xfId="0" applyNumberFormat="1" applyFont="1" applyAlignment="1">
      <alignment vertical="top"/>
    </xf>
    <xf numFmtId="0" fontId="40" fillId="0" borderId="11" xfId="0" applyFont="1" applyBorder="1"/>
    <xf numFmtId="175" fontId="17" fillId="0" borderId="0" xfId="543" applyNumberFormat="1" applyAlignment="1">
      <alignment vertical="center"/>
    </xf>
    <xf numFmtId="0" fontId="98" fillId="43" borderId="6" xfId="4496" applyFont="1" applyFill="1" applyBorder="1" applyAlignment="1" applyProtection="1">
      <alignment horizontal="center"/>
      <protection locked="0"/>
    </xf>
    <xf numFmtId="0" fontId="98" fillId="0" borderId="0" xfId="4496" applyFont="1"/>
    <xf numFmtId="0" fontId="98" fillId="0" borderId="0" xfId="4496" applyFont="1" applyAlignment="1">
      <alignment wrapText="1"/>
    </xf>
    <xf numFmtId="0" fontId="137" fillId="0" borderId="0" xfId="4496" applyFont="1"/>
    <xf numFmtId="181" fontId="138" fillId="0" borderId="0" xfId="4498" applyNumberFormat="1" applyFont="1" applyBorder="1" applyProtection="1"/>
    <xf numFmtId="0" fontId="139" fillId="0" borderId="0" xfId="4496" applyFont="1" applyAlignment="1">
      <alignment vertical="center" wrapText="1"/>
    </xf>
    <xf numFmtId="49" fontId="98" fillId="0" borderId="0" xfId="4496" applyNumberFormat="1" applyFont="1" applyAlignment="1">
      <alignment horizontal="center"/>
    </xf>
    <xf numFmtId="182" fontId="98" fillId="0" borderId="6" xfId="4496" applyNumberFormat="1" applyFont="1" applyBorder="1"/>
    <xf numFmtId="0" fontId="98" fillId="0" borderId="0" xfId="4496" applyFont="1" applyAlignment="1">
      <alignment vertical="center"/>
    </xf>
    <xf numFmtId="182" fontId="98" fillId="0" borderId="0" xfId="4496" applyNumberFormat="1" applyFont="1" applyAlignment="1">
      <alignment vertical="center"/>
    </xf>
    <xf numFmtId="175" fontId="98" fillId="0" borderId="0" xfId="4499" applyNumberFormat="1" applyFont="1" applyFill="1" applyBorder="1" applyAlignment="1" applyProtection="1">
      <alignment horizontal="left" vertical="center"/>
    </xf>
    <xf numFmtId="9" fontId="98" fillId="0" borderId="0" xfId="4499" applyFont="1" applyFill="1" applyBorder="1" applyAlignment="1" applyProtection="1">
      <alignment vertical="center"/>
    </xf>
    <xf numFmtId="183" fontId="98" fillId="0" borderId="0" xfId="4496" applyNumberFormat="1" applyFont="1" applyAlignment="1">
      <alignment vertical="center" wrapText="1"/>
    </xf>
    <xf numFmtId="9" fontId="98" fillId="0" borderId="0" xfId="4499" applyFont="1" applyBorder="1" applyAlignment="1" applyProtection="1">
      <alignment vertical="center"/>
    </xf>
    <xf numFmtId="164" fontId="98" fillId="0" borderId="0" xfId="4496" applyNumberFormat="1" applyFont="1" applyAlignment="1">
      <alignment vertical="center" wrapText="1"/>
    </xf>
    <xf numFmtId="0" fontId="98" fillId="0" borderId="0" xfId="4496" applyFont="1" applyAlignment="1">
      <alignment horizontal="center" vertical="center"/>
    </xf>
    <xf numFmtId="182" fontId="98" fillId="0" borderId="11" xfId="8721" applyNumberFormat="1" applyFont="1" applyBorder="1" applyProtection="1"/>
    <xf numFmtId="182" fontId="98" fillId="0" borderId="11" xfId="4496" applyNumberFormat="1" applyFont="1" applyBorder="1"/>
    <xf numFmtId="164" fontId="98" fillId="0" borderId="0" xfId="4496" applyNumberFormat="1" applyFont="1" applyAlignment="1">
      <alignment wrapText="1"/>
    </xf>
    <xf numFmtId="49" fontId="98" fillId="0" borderId="0" xfId="4496" applyNumberFormat="1" applyFont="1" applyAlignment="1">
      <alignment horizontal="left"/>
    </xf>
    <xf numFmtId="0" fontId="140" fillId="0" borderId="0" xfId="4496" applyFont="1"/>
    <xf numFmtId="9" fontId="98" fillId="0" borderId="11" xfId="4494" applyFont="1" applyFill="1" applyBorder="1" applyAlignment="1" applyProtection="1">
      <alignment horizontal="right"/>
    </xf>
    <xf numFmtId="1" fontId="98" fillId="0" borderId="0" xfId="4496" applyNumberFormat="1" applyFont="1"/>
    <xf numFmtId="0" fontId="137" fillId="45" borderId="3" xfId="4496" applyFont="1" applyFill="1" applyBorder="1" applyAlignment="1">
      <alignment horizontal="left" indent="1"/>
    </xf>
    <xf numFmtId="0" fontId="98" fillId="45" borderId="4" xfId="4496" applyFont="1" applyFill="1" applyBorder="1"/>
    <xf numFmtId="2" fontId="98" fillId="45" borderId="5" xfId="4496" applyNumberFormat="1" applyFont="1" applyFill="1" applyBorder="1"/>
    <xf numFmtId="181" fontId="98" fillId="0" borderId="0" xfId="4496" applyNumberFormat="1" applyFont="1"/>
    <xf numFmtId="165" fontId="138" fillId="0" borderId="0" xfId="4499" applyNumberFormat="1" applyFont="1" applyFill="1" applyBorder="1" applyProtection="1"/>
    <xf numFmtId="9" fontId="98" fillId="0" borderId="0" xfId="4494" applyFont="1" applyFill="1" applyProtection="1"/>
    <xf numFmtId="0" fontId="98" fillId="0" borderId="11" xfId="4496" applyFont="1" applyBorder="1" applyAlignment="1">
      <alignment horizontal="center"/>
    </xf>
    <xf numFmtId="2" fontId="98" fillId="0" borderId="11" xfId="4496" applyNumberFormat="1" applyFont="1" applyBorder="1" applyAlignment="1">
      <alignment horizontal="center"/>
    </xf>
    <xf numFmtId="0" fontId="98" fillId="0" borderId="0" xfId="4496" applyFont="1" applyAlignment="1">
      <alignment vertical="top" wrapText="1"/>
    </xf>
    <xf numFmtId="0" fontId="98" fillId="0" borderId="11" xfId="4496" applyFont="1" applyBorder="1" applyAlignment="1">
      <alignment horizontal="center" vertical="top" wrapText="1"/>
    </xf>
    <xf numFmtId="182" fontId="98" fillId="0" borderId="0" xfId="8721" applyNumberFormat="1" applyFont="1" applyBorder="1" applyProtection="1"/>
    <xf numFmtId="0" fontId="98" fillId="0" borderId="0" xfId="4496" applyFont="1" applyAlignment="1">
      <alignment horizontal="left" indent="1"/>
    </xf>
    <xf numFmtId="182" fontId="98" fillId="0" borderId="0" xfId="4496" applyNumberFormat="1" applyFont="1"/>
    <xf numFmtId="184" fontId="98" fillId="0" borderId="0" xfId="4496" applyNumberFormat="1" applyFont="1"/>
    <xf numFmtId="0" fontId="98" fillId="0" borderId="0" xfId="4496" applyFont="1" applyAlignment="1">
      <alignment horizontal="left"/>
    </xf>
    <xf numFmtId="0" fontId="98" fillId="0" borderId="0" xfId="4496" applyFont="1" applyAlignment="1">
      <alignment horizontal="center"/>
    </xf>
    <xf numFmtId="3" fontId="22" fillId="0" borderId="11" xfId="271" applyNumberFormat="1" applyFont="1" applyBorder="1" applyAlignment="1">
      <alignment horizontal="center"/>
    </xf>
    <xf numFmtId="3" fontId="22" fillId="43" borderId="11" xfId="271" applyNumberFormat="1" applyFont="1" applyFill="1" applyBorder="1" applyProtection="1">
      <protection locked="0"/>
    </xf>
    <xf numFmtId="0" fontId="98" fillId="0" borderId="0" xfId="4496" applyFont="1" applyAlignment="1">
      <alignment horizontal="right"/>
    </xf>
    <xf numFmtId="168" fontId="26" fillId="0" borderId="0" xfId="0" applyNumberFormat="1" applyFont="1"/>
    <xf numFmtId="0" fontId="98" fillId="0" borderId="15" xfId="4496" applyFont="1" applyBorder="1" applyAlignment="1">
      <alignment horizontal="center" vertical="top" wrapText="1"/>
    </xf>
    <xf numFmtId="2" fontId="98" fillId="0" borderId="15" xfId="4496" applyNumberFormat="1" applyFont="1" applyBorder="1" applyAlignment="1">
      <alignment horizontal="center"/>
    </xf>
    <xf numFmtId="0" fontId="98" fillId="0" borderId="15" xfId="4496" applyFont="1" applyBorder="1" applyAlignment="1">
      <alignment horizontal="center"/>
    </xf>
    <xf numFmtId="0" fontId="137" fillId="0" borderId="68" xfId="4496" applyFont="1" applyBorder="1" applyAlignment="1">
      <alignment horizontal="center" vertical="top" wrapText="1"/>
    </xf>
    <xf numFmtId="0" fontId="137" fillId="0" borderId="68" xfId="4496" applyFont="1" applyBorder="1" applyAlignment="1">
      <alignment horizontal="center"/>
    </xf>
    <xf numFmtId="0" fontId="151" fillId="0" borderId="0" xfId="4496" applyFont="1" applyAlignment="1">
      <alignment horizontal="right" vertical="center"/>
    </xf>
    <xf numFmtId="175" fontId="98" fillId="0" borderId="0" xfId="4499" applyNumberFormat="1" applyFont="1" applyFill="1" applyBorder="1" applyAlignment="1" applyProtection="1">
      <alignment horizontal="right" vertical="center"/>
    </xf>
    <xf numFmtId="5" fontId="98" fillId="0" borderId="6" xfId="4496" applyNumberFormat="1" applyFont="1" applyBorder="1" applyAlignment="1">
      <alignment vertical="center"/>
    </xf>
    <xf numFmtId="0" fontId="98" fillId="0" borderId="66" xfId="4496" applyFont="1" applyBorder="1" applyAlignment="1">
      <alignment vertical="center"/>
    </xf>
    <xf numFmtId="0" fontId="98" fillId="0" borderId="41" xfId="4496" applyFont="1" applyBorder="1" applyAlignment="1">
      <alignment vertical="center"/>
    </xf>
    <xf numFmtId="182" fontId="98" fillId="0" borderId="73" xfId="4496" applyNumberFormat="1" applyFont="1" applyBorder="1" applyAlignment="1">
      <alignment vertical="center"/>
    </xf>
    <xf numFmtId="175" fontId="98" fillId="0" borderId="42" xfId="4499" applyNumberFormat="1" applyFont="1" applyFill="1" applyBorder="1" applyAlignment="1" applyProtection="1">
      <alignment horizontal="left" vertical="center"/>
    </xf>
    <xf numFmtId="0" fontId="98" fillId="0" borderId="42" xfId="4496" applyFont="1" applyBorder="1" applyAlignment="1">
      <alignment vertical="center"/>
    </xf>
    <xf numFmtId="0" fontId="98" fillId="0" borderId="44" xfId="4496" applyFont="1" applyBorder="1" applyAlignment="1">
      <alignment vertical="center"/>
    </xf>
    <xf numFmtId="49" fontId="98" fillId="0" borderId="0" xfId="4496" applyNumberFormat="1" applyFont="1" applyAlignment="1">
      <alignment horizontal="center" vertical="center"/>
    </xf>
    <xf numFmtId="0" fontId="98" fillId="0" borderId="65" xfId="4496" applyFont="1" applyBorder="1" applyAlignment="1">
      <alignment vertical="center"/>
    </xf>
    <xf numFmtId="0" fontId="98" fillId="0" borderId="29" xfId="4496" applyFont="1" applyBorder="1" applyAlignment="1">
      <alignment vertical="center"/>
    </xf>
    <xf numFmtId="0" fontId="98" fillId="0" borderId="29" xfId="4496" applyFont="1" applyBorder="1" applyAlignment="1">
      <alignment horizontal="right" vertical="center"/>
    </xf>
    <xf numFmtId="5" fontId="98" fillId="0" borderId="29" xfId="4496" applyNumberFormat="1" applyFont="1" applyBorder="1" applyAlignment="1">
      <alignment vertical="center"/>
    </xf>
    <xf numFmtId="0" fontId="98" fillId="0" borderId="31" xfId="4496" applyFont="1" applyBorder="1" applyAlignment="1">
      <alignment vertical="center"/>
    </xf>
    <xf numFmtId="175" fontId="137" fillId="0" borderId="42" xfId="4494" applyNumberFormat="1" applyFont="1" applyFill="1" applyBorder="1" applyAlignment="1" applyProtection="1">
      <alignment horizontal="center" vertical="center"/>
    </xf>
    <xf numFmtId="0" fontId="137" fillId="0" borderId="29" xfId="4496" applyFont="1" applyBorder="1" applyAlignment="1">
      <alignment vertical="center"/>
    </xf>
    <xf numFmtId="0" fontId="137" fillId="0" borderId="0" xfId="4496" applyFont="1" applyAlignment="1">
      <alignment vertical="center"/>
    </xf>
    <xf numFmtId="0" fontId="137" fillId="0" borderId="42" xfId="4496" applyFont="1" applyBorder="1" applyAlignment="1">
      <alignment vertical="center"/>
    </xf>
    <xf numFmtId="9" fontId="137" fillId="0" borderId="42" xfId="4499" applyFont="1" applyFill="1" applyBorder="1" applyAlignment="1" applyProtection="1">
      <alignment vertical="center"/>
    </xf>
    <xf numFmtId="182" fontId="137" fillId="0" borderId="68" xfId="8721" applyNumberFormat="1" applyFont="1" applyBorder="1" applyProtection="1"/>
    <xf numFmtId="182" fontId="137" fillId="0" borderId="68" xfId="4496" applyNumberFormat="1" applyFont="1" applyBorder="1"/>
    <xf numFmtId="0" fontId="151" fillId="0" borderId="0" xfId="4496" applyFont="1" applyAlignment="1">
      <alignment horizontal="right"/>
    </xf>
    <xf numFmtId="0" fontId="98" fillId="0" borderId="0" xfId="4496" applyFont="1" applyAlignment="1">
      <alignment horizontal="right" vertical="top" wrapText="1" indent="1"/>
    </xf>
    <xf numFmtId="182" fontId="98" fillId="0" borderId="6" xfId="8721" applyNumberFormat="1" applyFont="1" applyBorder="1" applyAlignment="1" applyProtection="1">
      <alignment horizontal="center"/>
    </xf>
    <xf numFmtId="0" fontId="98" fillId="0" borderId="0" xfId="4496" applyFont="1" applyAlignment="1">
      <alignment horizontal="right" indent="1"/>
    </xf>
    <xf numFmtId="0" fontId="98" fillId="0" borderId="0" xfId="4496" applyFont="1" applyAlignment="1">
      <alignment horizontal="right" vertical="top"/>
    </xf>
    <xf numFmtId="0" fontId="137" fillId="0" borderId="0" xfId="4496" applyFont="1" applyAlignment="1">
      <alignment horizontal="right"/>
    </xf>
    <xf numFmtId="182" fontId="137" fillId="0" borderId="0" xfId="8721" applyNumberFormat="1" applyFont="1" applyBorder="1" applyAlignment="1" applyProtection="1">
      <alignment horizontal="center"/>
    </xf>
    <xf numFmtId="10" fontId="98" fillId="0" borderId="0" xfId="4494" applyNumberFormat="1" applyFont="1" applyBorder="1" applyAlignment="1" applyProtection="1">
      <alignment horizontal="center"/>
    </xf>
    <xf numFmtId="184" fontId="98" fillId="0" borderId="6" xfId="4496" applyNumberFormat="1" applyFont="1" applyBorder="1"/>
    <xf numFmtId="0" fontId="137" fillId="0" borderId="0" xfId="4496" applyFont="1" applyAlignment="1">
      <alignment horizontal="right" vertical="top"/>
    </xf>
    <xf numFmtId="182" fontId="137" fillId="0" borderId="0" xfId="4496" applyNumberFormat="1" applyFont="1"/>
    <xf numFmtId="182" fontId="98" fillId="0" borderId="6" xfId="8721" applyNumberFormat="1" applyFont="1" applyBorder="1" applyProtection="1"/>
    <xf numFmtId="184" fontId="98" fillId="0" borderId="0" xfId="4496" applyNumberFormat="1" applyFont="1" applyAlignment="1">
      <alignment horizontal="center"/>
    </xf>
    <xf numFmtId="0" fontId="98" fillId="0" borderId="6" xfId="4496" applyFont="1" applyBorder="1" applyAlignment="1">
      <alignment horizontal="right" vertical="top" wrapText="1" indent="1"/>
    </xf>
    <xf numFmtId="0" fontId="98" fillId="0" borderId="67" xfId="4496" applyFont="1" applyBorder="1" applyAlignment="1">
      <alignment horizontal="right" indent="1"/>
    </xf>
    <xf numFmtId="0" fontId="98" fillId="0" borderId="72" xfId="4496" applyFont="1" applyBorder="1" applyAlignment="1">
      <alignment horizontal="right" indent="1"/>
    </xf>
    <xf numFmtId="0" fontId="98" fillId="0" borderId="72" xfId="4496" quotePrefix="1" applyFont="1" applyBorder="1" applyAlignment="1">
      <alignment horizontal="right" indent="1"/>
    </xf>
    <xf numFmtId="0" fontId="98" fillId="0" borderId="69" xfId="4496" applyFont="1" applyBorder="1" applyAlignment="1">
      <alignment horizontal="right" indent="1"/>
    </xf>
    <xf numFmtId="182" fontId="98" fillId="0" borderId="71" xfId="4496" applyNumberFormat="1" applyFont="1" applyBorder="1"/>
    <xf numFmtId="182" fontId="98" fillId="0" borderId="76" xfId="4496" applyNumberFormat="1" applyFont="1" applyBorder="1"/>
    <xf numFmtId="182" fontId="98" fillId="0" borderId="77" xfId="4496" applyNumberFormat="1" applyFont="1" applyBorder="1"/>
    <xf numFmtId="175" fontId="24" fillId="0" borderId="0" xfId="543" applyNumberFormat="1" applyFont="1" applyAlignment="1">
      <alignment vertical="center"/>
    </xf>
    <xf numFmtId="10" fontId="137" fillId="0" borderId="0" xfId="4494" applyNumberFormat="1" applyFont="1" applyProtection="1"/>
    <xf numFmtId="0" fontId="24" fillId="0" borderId="0" xfId="1192" applyFont="1" applyAlignment="1">
      <alignment horizontal="left" indent="1"/>
    </xf>
    <xf numFmtId="168" fontId="98" fillId="0" borderId="11" xfId="4499" applyNumberFormat="1" applyFont="1" applyFill="1" applyBorder="1" applyAlignment="1" applyProtection="1">
      <alignment horizontal="left" vertical="center" indent="1"/>
    </xf>
    <xf numFmtId="168" fontId="137" fillId="0" borderId="68" xfId="4499" applyNumberFormat="1" applyFont="1" applyFill="1" applyBorder="1" applyAlignment="1" applyProtection="1">
      <alignment horizontal="left" vertical="center" indent="1"/>
    </xf>
    <xf numFmtId="182" fontId="98" fillId="0" borderId="13" xfId="4496" applyNumberFormat="1" applyFont="1" applyBorder="1"/>
    <xf numFmtId="182" fontId="98" fillId="0" borderId="70" xfId="4496" applyNumberFormat="1" applyFont="1" applyBorder="1"/>
    <xf numFmtId="0" fontId="35" fillId="0" borderId="0" xfId="4495" applyFont="1" applyAlignment="1">
      <alignment vertical="center"/>
    </xf>
    <xf numFmtId="0" fontId="122" fillId="0" borderId="0" xfId="4496" applyFont="1" applyAlignment="1">
      <alignment vertical="center" wrapText="1"/>
    </xf>
    <xf numFmtId="0" fontId="22" fillId="43" borderId="0" xfId="1192" applyFont="1" applyFill="1"/>
    <xf numFmtId="3" fontId="68" fillId="43" borderId="6" xfId="1192" applyNumberFormat="1" applyFont="1" applyFill="1" applyBorder="1"/>
    <xf numFmtId="0" fontId="153" fillId="0" borderId="0" xfId="0" applyFont="1"/>
    <xf numFmtId="0" fontId="22" fillId="0" borderId="11" xfId="253" applyFont="1" applyBorder="1" applyAlignment="1" applyProtection="1">
      <alignment horizontal="center" wrapText="1"/>
      <protection locked="0"/>
    </xf>
    <xf numFmtId="0" fontId="154" fillId="0" borderId="0" xfId="0" applyFont="1"/>
    <xf numFmtId="0" fontId="155" fillId="0" borderId="0" xfId="0" applyFont="1" applyAlignment="1">
      <alignment horizontal="center"/>
    </xf>
    <xf numFmtId="0" fontId="53" fillId="5" borderId="11" xfId="0" applyFont="1" applyFill="1" applyBorder="1" applyAlignment="1" applyProtection="1">
      <alignment horizontal="right" vertical="top" wrapText="1"/>
      <protection locked="0"/>
    </xf>
    <xf numFmtId="0" fontId="17" fillId="43" borderId="3" xfId="569" applyFill="1" applyBorder="1"/>
    <xf numFmtId="0" fontId="158" fillId="0" borderId="0" xfId="0" applyFont="1" applyAlignment="1">
      <alignment horizontal="right"/>
    </xf>
    <xf numFmtId="1" fontId="25" fillId="0" borderId="0" xfId="4495" applyNumberFormat="1" applyFont="1"/>
    <xf numFmtId="0" fontId="24" fillId="0" borderId="4" xfId="569" applyFont="1" applyBorder="1" applyAlignment="1">
      <alignment horizontal="center"/>
    </xf>
    <xf numFmtId="43" fontId="24" fillId="0" borderId="0" xfId="4503" applyFont="1" applyAlignment="1" applyProtection="1">
      <alignment horizontal="center"/>
    </xf>
    <xf numFmtId="0" fontId="24" fillId="0" borderId="0" xfId="569" applyFont="1" applyAlignment="1">
      <alignment horizontal="center" vertical="center"/>
    </xf>
    <xf numFmtId="0" fontId="24" fillId="0" borderId="16" xfId="569" applyFont="1" applyBorder="1" applyAlignment="1">
      <alignment horizontal="center"/>
    </xf>
    <xf numFmtId="49" fontId="24" fillId="0" borderId="4" xfId="569" applyNumberFormat="1" applyFont="1" applyBorder="1" applyAlignment="1">
      <alignment horizontal="center"/>
    </xf>
    <xf numFmtId="4" fontId="24" fillId="0" borderId="0" xfId="569" applyNumberFormat="1" applyFont="1" applyAlignment="1">
      <alignment horizontal="center"/>
    </xf>
    <xf numFmtId="0" fontId="17" fillId="0" borderId="0" xfId="569" applyAlignment="1">
      <alignment horizontal="center" wrapText="1"/>
    </xf>
    <xf numFmtId="0" fontId="98" fillId="0" borderId="6" xfId="4496" applyFont="1" applyBorder="1" applyAlignment="1">
      <alignment horizontal="left" vertical="top"/>
    </xf>
    <xf numFmtId="0" fontId="17" fillId="0" borderId="0" xfId="0" applyFont="1" applyAlignment="1">
      <alignment vertical="center" wrapText="1"/>
    </xf>
    <xf numFmtId="3" fontId="22" fillId="43" borderId="11" xfId="271" applyNumberFormat="1" applyFont="1" applyFill="1" applyBorder="1" applyAlignment="1" applyProtection="1">
      <alignment horizontal="left"/>
      <protection locked="0"/>
    </xf>
    <xf numFmtId="0" fontId="98" fillId="43" borderId="6" xfId="4496" applyFont="1" applyFill="1" applyBorder="1" applyProtection="1">
      <protection locked="0"/>
    </xf>
    <xf numFmtId="1" fontId="98" fillId="0" borderId="0" xfId="4496" applyNumberFormat="1" applyFont="1" applyProtection="1">
      <protection locked="0"/>
    </xf>
    <xf numFmtId="182" fontId="163" fillId="0" borderId="11" xfId="4496" applyNumberFormat="1" applyFont="1" applyBorder="1"/>
    <xf numFmtId="44" fontId="98" fillId="0" borderId="0" xfId="4496" applyNumberFormat="1" applyFont="1"/>
    <xf numFmtId="182" fontId="22" fillId="0" borderId="11" xfId="4496" applyNumberFormat="1" applyFont="1" applyBorder="1"/>
    <xf numFmtId="9" fontId="98" fillId="0" borderId="0" xfId="4494" applyFont="1"/>
    <xf numFmtId="182" fontId="98" fillId="43" borderId="6" xfId="8721" applyNumberFormat="1" applyFont="1" applyFill="1" applyBorder="1" applyProtection="1">
      <protection locked="0"/>
    </xf>
    <xf numFmtId="0" fontId="17" fillId="0" borderId="0" xfId="4495" applyFont="1" applyAlignment="1">
      <alignment wrapText="1"/>
    </xf>
    <xf numFmtId="168" fontId="175" fillId="48" borderId="79" xfId="700" applyNumberFormat="1" applyFont="1" applyFill="1" applyBorder="1" applyAlignment="1" applyProtection="1">
      <protection locked="0"/>
    </xf>
    <xf numFmtId="3" fontId="45" fillId="10" borderId="0" xfId="543" applyNumberFormat="1" applyFont="1" applyFill="1" applyAlignment="1">
      <alignment vertical="center" wrapText="1"/>
    </xf>
    <xf numFmtId="0" fontId="182" fillId="0" borderId="0" xfId="543" applyFont="1" applyAlignment="1">
      <alignment horizontal="left" vertical="center"/>
    </xf>
    <xf numFmtId="0" fontId="183" fillId="0" borderId="0" xfId="543" applyFont="1" applyAlignment="1">
      <alignment horizontal="right" vertical="top" wrapText="1"/>
    </xf>
    <xf numFmtId="168" fontId="183" fillId="0" borderId="0" xfId="543" applyNumberFormat="1" applyFont="1" applyAlignment="1">
      <alignment horizontal="center" vertical="center"/>
    </xf>
    <xf numFmtId="0" fontId="184" fillId="0" borderId="0" xfId="543" applyFont="1" applyAlignment="1">
      <alignment horizontal="left" vertical="center"/>
    </xf>
    <xf numFmtId="0" fontId="184" fillId="0" borderId="0" xfId="543" applyFont="1" applyAlignment="1">
      <alignment horizontal="right" vertical="top" wrapText="1"/>
    </xf>
    <xf numFmtId="168" fontId="183" fillId="0" borderId="104" xfId="543" applyNumberFormat="1" applyFont="1" applyBorder="1" applyAlignment="1">
      <alignment horizontal="center" vertical="center"/>
    </xf>
    <xf numFmtId="0" fontId="184" fillId="0" borderId="106" xfId="543" applyFont="1" applyBorder="1" applyAlignment="1">
      <alignment horizontal="right" vertical="top" wrapText="1"/>
    </xf>
    <xf numFmtId="0" fontId="24" fillId="0" borderId="0" xfId="4495" applyFont="1" applyAlignment="1">
      <alignment wrapText="1"/>
    </xf>
    <xf numFmtId="182" fontId="17" fillId="0" borderId="0" xfId="700" applyNumberFormat="1" applyFont="1"/>
    <xf numFmtId="9" fontId="17" fillId="0" borderId="0" xfId="1022" applyFont="1"/>
    <xf numFmtId="168" fontId="17"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2" fillId="0" borderId="0" xfId="8733"/>
    <xf numFmtId="0" fontId="103" fillId="0" borderId="0" xfId="8733" applyFont="1"/>
    <xf numFmtId="0" fontId="2" fillId="47" borderId="66" xfId="8733" applyFill="1" applyBorder="1"/>
    <xf numFmtId="0" fontId="2" fillId="47" borderId="0" xfId="8733" applyFill="1"/>
    <xf numFmtId="0" fontId="102" fillId="47" borderId="41" xfId="8733" applyFont="1" applyFill="1" applyBorder="1" applyAlignment="1">
      <alignment horizontal="center"/>
    </xf>
    <xf numFmtId="0" fontId="102" fillId="47" borderId="0" xfId="8733" applyFont="1" applyFill="1"/>
    <xf numFmtId="182" fontId="174" fillId="47" borderId="0" xfId="8734" applyNumberFormat="1" applyFont="1" applyFill="1" applyBorder="1" applyAlignment="1"/>
    <xf numFmtId="0" fontId="2" fillId="47" borderId="41" xfId="8733" applyFill="1" applyBorder="1"/>
    <xf numFmtId="0" fontId="103" fillId="47" borderId="0" xfId="8733" applyFont="1" applyFill="1"/>
    <xf numFmtId="0" fontId="178" fillId="47" borderId="0" xfId="8733" applyFont="1" applyFill="1"/>
    <xf numFmtId="0" fontId="102" fillId="47" borderId="41" xfId="8733" applyFont="1" applyFill="1" applyBorder="1"/>
    <xf numFmtId="0" fontId="102" fillId="0" borderId="0" xfId="8733" applyFont="1"/>
    <xf numFmtId="0" fontId="102" fillId="54" borderId="100" xfId="8733" applyFont="1" applyFill="1" applyBorder="1"/>
    <xf numFmtId="0" fontId="2" fillId="53" borderId="99" xfId="8733" applyFill="1" applyBorder="1"/>
    <xf numFmtId="0" fontId="2" fillId="52" borderId="99" xfId="8733" applyFill="1" applyBorder="1"/>
    <xf numFmtId="0" fontId="102" fillId="45" borderId="65" xfId="8733" applyFont="1" applyFill="1" applyBorder="1"/>
    <xf numFmtId="0" fontId="2" fillId="45" borderId="80" xfId="8733" applyFill="1" applyBorder="1"/>
    <xf numFmtId="0" fontId="2" fillId="45" borderId="79" xfId="8733" applyFill="1" applyBorder="1"/>
    <xf numFmtId="0" fontId="2" fillId="45" borderId="78" xfId="8733" applyFill="1" applyBorder="1"/>
    <xf numFmtId="0" fontId="102" fillId="45" borderId="0" xfId="8733" applyFont="1" applyFill="1"/>
    <xf numFmtId="0" fontId="102" fillId="45" borderId="12" xfId="8733" applyFont="1" applyFill="1" applyBorder="1"/>
    <xf numFmtId="0" fontId="102" fillId="45" borderId="29" xfId="8733" applyFont="1" applyFill="1" applyBorder="1"/>
    <xf numFmtId="0" fontId="102" fillId="45" borderId="80" xfId="8733" applyFont="1" applyFill="1" applyBorder="1"/>
    <xf numFmtId="0" fontId="102" fillId="45" borderId="79" xfId="8733" applyFont="1" applyFill="1" applyBorder="1"/>
    <xf numFmtId="0" fontId="102" fillId="45" borderId="78" xfId="8733" applyFont="1" applyFill="1" applyBorder="1"/>
    <xf numFmtId="0" fontId="102" fillId="45" borderId="93" xfId="8733" applyFont="1" applyFill="1" applyBorder="1"/>
    <xf numFmtId="0" fontId="102" fillId="45" borderId="6" xfId="8733" applyFont="1" applyFill="1" applyBorder="1"/>
    <xf numFmtId="0" fontId="102" fillId="45" borderId="10" xfId="8733" applyFont="1" applyFill="1" applyBorder="1"/>
    <xf numFmtId="0" fontId="2" fillId="45" borderId="29" xfId="8733" applyFill="1" applyBorder="1"/>
    <xf numFmtId="0" fontId="2" fillId="45" borderId="31" xfId="8733" applyFill="1" applyBorder="1"/>
    <xf numFmtId="0" fontId="102" fillId="45" borderId="92" xfId="8733" applyFont="1" applyFill="1" applyBorder="1"/>
    <xf numFmtId="0" fontId="102" fillId="45" borderId="74" xfId="8733" applyFont="1" applyFill="1" applyBorder="1"/>
    <xf numFmtId="0" fontId="173" fillId="45" borderId="87" xfId="8733" applyFont="1" applyFill="1" applyBorder="1"/>
    <xf numFmtId="0" fontId="2" fillId="45" borderId="87" xfId="8733" applyFill="1" applyBorder="1"/>
    <xf numFmtId="0" fontId="2" fillId="45" borderId="86" xfId="8733" applyFill="1" applyBorder="1"/>
    <xf numFmtId="0" fontId="2" fillId="45" borderId="95" xfId="8733" applyFill="1" applyBorder="1"/>
    <xf numFmtId="0" fontId="180" fillId="47" borderId="0" xfId="8733" applyFont="1" applyFill="1"/>
    <xf numFmtId="0" fontId="102" fillId="45" borderId="31" xfId="8733" applyFont="1" applyFill="1" applyBorder="1"/>
    <xf numFmtId="0" fontId="2" fillId="47" borderId="0" xfId="8733" applyFill="1" applyAlignment="1">
      <alignment horizontal="left"/>
    </xf>
    <xf numFmtId="0" fontId="172" fillId="51" borderId="11" xfId="8733" applyFont="1" applyFill="1" applyBorder="1"/>
    <xf numFmtId="0" fontId="172" fillId="51" borderId="76" xfId="8733" applyFont="1" applyFill="1" applyBorder="1"/>
    <xf numFmtId="0" fontId="173" fillId="51" borderId="11" xfId="8733" applyFont="1" applyFill="1" applyBorder="1" applyAlignment="1">
      <alignment horizontal="center"/>
    </xf>
    <xf numFmtId="0" fontId="173" fillId="51" borderId="76" xfId="8733" applyFont="1" applyFill="1" applyBorder="1" applyAlignment="1">
      <alignment horizontal="center"/>
    </xf>
    <xf numFmtId="0" fontId="2" fillId="48" borderId="66" xfId="8733" applyFill="1" applyBorder="1"/>
    <xf numFmtId="0" fontId="2" fillId="48" borderId="0" xfId="8733" applyFill="1"/>
    <xf numFmtId="0" fontId="2" fillId="48" borderId="78" xfId="8733" applyFill="1" applyBorder="1"/>
    <xf numFmtId="0" fontId="102" fillId="47" borderId="66" xfId="8733" applyFont="1" applyFill="1" applyBorder="1"/>
    <xf numFmtId="49" fontId="102" fillId="47" borderId="66" xfId="8733" applyNumberFormat="1" applyFont="1" applyFill="1" applyBorder="1" applyAlignment="1">
      <alignment horizontal="right" vertical="top"/>
    </xf>
    <xf numFmtId="0" fontId="2" fillId="47" borderId="73" xfId="8733" applyFill="1" applyBorder="1"/>
    <xf numFmtId="0" fontId="2" fillId="47" borderId="42" xfId="8733" applyFill="1" applyBorder="1"/>
    <xf numFmtId="0" fontId="2" fillId="47" borderId="44" xfId="8733" applyFill="1" applyBorder="1"/>
    <xf numFmtId="0" fontId="2" fillId="44" borderId="66" xfId="8733" applyFill="1" applyBorder="1"/>
    <xf numFmtId="0" fontId="2" fillId="44" borderId="0" xfId="8733" applyFill="1"/>
    <xf numFmtId="0" fontId="2" fillId="44" borderId="41" xfId="8733" applyFill="1" applyBorder="1"/>
    <xf numFmtId="0" fontId="2" fillId="44" borderId="0" xfId="8733" applyFill="1" applyAlignment="1">
      <alignment horizontal="left"/>
    </xf>
    <xf numFmtId="0" fontId="2" fillId="44" borderId="73" xfId="8733" applyFill="1" applyBorder="1"/>
    <xf numFmtId="0" fontId="2" fillId="44" borderId="42" xfId="8733" applyFill="1" applyBorder="1"/>
    <xf numFmtId="0" fontId="2" fillId="44" borderId="44" xfId="8733" applyFill="1" applyBorder="1"/>
    <xf numFmtId="0" fontId="164" fillId="0" borderId="0" xfId="8733" applyFont="1"/>
    <xf numFmtId="168" fontId="0" fillId="0" borderId="0" xfId="0" applyNumberFormat="1"/>
    <xf numFmtId="0" fontId="122" fillId="52" borderId="113" xfId="0" applyFont="1" applyFill="1" applyBorder="1"/>
    <xf numFmtId="0" fontId="122" fillId="53" borderId="113" xfId="0" applyFont="1" applyFill="1" applyBorder="1"/>
    <xf numFmtId="1" fontId="0" fillId="0" borderId="0" xfId="0" applyNumberFormat="1"/>
    <xf numFmtId="0" fontId="18"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8" fillId="0" borderId="0" xfId="244" applyAlignment="1">
      <alignment horizontal="left" vertical="top"/>
    </xf>
    <xf numFmtId="9" fontId="17" fillId="0" borderId="0" xfId="0" applyNumberFormat="1" applyFont="1"/>
    <xf numFmtId="0" fontId="169" fillId="0" borderId="0" xfId="8733" applyFont="1"/>
    <xf numFmtId="0" fontId="166" fillId="0" borderId="0" xfId="8733" applyFont="1"/>
    <xf numFmtId="185" fontId="169" fillId="0" borderId="0" xfId="698" applyNumberFormat="1" applyFont="1"/>
    <xf numFmtId="10" fontId="169" fillId="0" borderId="0" xfId="1022" applyNumberFormat="1" applyFont="1"/>
    <xf numFmtId="186" fontId="22" fillId="0" borderId="0" xfId="0" applyNumberFormat="1" applyFont="1"/>
    <xf numFmtId="0" fontId="23" fillId="3" borderId="0" xfId="0" applyFont="1" applyFill="1" applyAlignment="1">
      <alignment horizontal="center" vertical="center" wrapText="1"/>
    </xf>
    <xf numFmtId="0" fontId="23" fillId="3" borderId="16" xfId="0" applyFont="1" applyFill="1" applyBorder="1" applyAlignment="1">
      <alignment horizontal="center" vertical="center" wrapText="1"/>
    </xf>
    <xf numFmtId="0" fontId="17" fillId="0" borderId="0" xfId="0" applyFont="1" applyAlignment="1">
      <alignment horizontal="left" vertical="top" wrapText="1"/>
    </xf>
    <xf numFmtId="0" fontId="105" fillId="0" borderId="0" xfId="0" applyFont="1" applyAlignment="1">
      <alignment horizontal="left" vertical="top" wrapText="1"/>
    </xf>
    <xf numFmtId="0" fontId="18" fillId="0" borderId="0" xfId="244" applyAlignment="1">
      <alignment horizontal="left" vertical="top"/>
    </xf>
    <xf numFmtId="0" fontId="46" fillId="0" borderId="0" xfId="0" applyFont="1" applyAlignment="1">
      <alignment horizontal="left" vertical="top" wrapText="1"/>
    </xf>
    <xf numFmtId="0" fontId="113" fillId="0" borderId="0" xfId="0" applyFont="1" applyAlignment="1">
      <alignment horizontal="left" wrapText="1"/>
    </xf>
    <xf numFmtId="0" fontId="17" fillId="0" borderId="0" xfId="0" applyFont="1" applyAlignment="1">
      <alignment horizontal="left" wrapText="1"/>
    </xf>
    <xf numFmtId="0" fontId="26" fillId="0" borderId="0" xfId="0" applyFont="1" applyAlignment="1">
      <alignment horizontal="left" wrapText="1"/>
    </xf>
    <xf numFmtId="0" fontId="18" fillId="0" borderId="0" xfId="244" applyAlignment="1" applyProtection="1">
      <alignment horizontal="left"/>
    </xf>
    <xf numFmtId="0" fontId="18" fillId="0" borderId="0" xfId="244"/>
    <xf numFmtId="0" fontId="0" fillId="0" borderId="0" xfId="0"/>
    <xf numFmtId="0" fontId="17" fillId="0" borderId="0" xfId="1192" applyAlignment="1">
      <alignment horizontal="left" vertical="top" wrapText="1"/>
    </xf>
    <xf numFmtId="0" fontId="24" fillId="0" borderId="0" xfId="0" applyFont="1" applyAlignment="1">
      <alignment horizontal="left" vertical="top" wrapText="1"/>
    </xf>
    <xf numFmtId="0" fontId="114" fillId="0" borderId="0" xfId="569" applyFont="1" applyAlignment="1">
      <alignment horizontal="center"/>
    </xf>
    <xf numFmtId="0" fontId="115" fillId="0" borderId="0" xfId="569" applyFont="1"/>
    <xf numFmtId="0" fontId="17" fillId="0" borderId="0" xfId="569" applyAlignment="1">
      <alignment wrapText="1"/>
    </xf>
    <xf numFmtId="0" fontId="24" fillId="0" borderId="0" xfId="569" applyFont="1" applyAlignment="1">
      <alignment wrapText="1"/>
    </xf>
    <xf numFmtId="0" fontId="32" fillId="0" borderId="0" xfId="569" applyFont="1" applyAlignment="1">
      <alignment horizontal="center"/>
    </xf>
    <xf numFmtId="0" fontId="17" fillId="0" borderId="0" xfId="569"/>
    <xf numFmtId="0" fontId="17" fillId="0" borderId="0" xfId="1192" applyAlignment="1">
      <alignment vertical="top" wrapText="1"/>
    </xf>
    <xf numFmtId="4" fontId="17" fillId="0" borderId="0" xfId="569" applyNumberFormat="1" applyAlignment="1">
      <alignment horizontal="left"/>
    </xf>
    <xf numFmtId="0" fontId="35" fillId="0" borderId="0" xfId="569" applyFont="1" applyAlignment="1">
      <alignment horizontal="left" vertical="top"/>
    </xf>
    <xf numFmtId="4" fontId="35" fillId="0" borderId="0" xfId="0" applyNumberFormat="1" applyFont="1" applyAlignment="1">
      <alignment horizontal="left"/>
    </xf>
    <xf numFmtId="4" fontId="17" fillId="0" borderId="0" xfId="0" applyNumberFormat="1" applyFont="1" applyAlignment="1">
      <alignment horizontal="left"/>
    </xf>
    <xf numFmtId="0" fontId="24" fillId="0" borderId="4" xfId="0" applyFont="1" applyBorder="1" applyAlignment="1">
      <alignment horizontal="left"/>
    </xf>
    <xf numFmtId="0" fontId="35" fillId="0" borderId="0" xfId="0" applyFont="1" applyAlignment="1">
      <alignment horizontal="left" vertical="top"/>
    </xf>
    <xf numFmtId="0" fontId="17" fillId="0" borderId="0" xfId="0" applyFont="1" applyAlignment="1">
      <alignment horizontal="left" vertical="top"/>
    </xf>
    <xf numFmtId="0" fontId="17" fillId="0" borderId="0" xfId="0" applyFont="1" applyAlignment="1">
      <alignment horizontal="left"/>
    </xf>
    <xf numFmtId="49" fontId="17" fillId="0" borderId="0" xfId="0" applyNumberFormat="1" applyFont="1" applyAlignment="1">
      <alignment horizontal="left" vertical="top" wrapText="1"/>
    </xf>
    <xf numFmtId="0" fontId="17" fillId="0" borderId="0" xfId="0" applyFont="1" applyAlignment="1">
      <alignment horizontal="left" vertical="center" wrapText="1"/>
    </xf>
    <xf numFmtId="0" fontId="17" fillId="0" borderId="0" xfId="569" applyAlignment="1">
      <alignment horizontal="left" wrapText="1"/>
    </xf>
    <xf numFmtId="0" fontId="17" fillId="0" borderId="0" xfId="0" applyFont="1" applyAlignment="1">
      <alignment vertical="top" wrapText="1"/>
    </xf>
    <xf numFmtId="0" fontId="18" fillId="0" borderId="0" xfId="244" applyFill="1" applyBorder="1" applyAlignment="1">
      <alignment horizontal="left" vertical="top" wrapText="1"/>
    </xf>
    <xf numFmtId="4" fontId="17" fillId="0" borderId="0" xfId="0" applyNumberFormat="1" applyFont="1" applyAlignment="1">
      <alignment horizontal="left" vertical="top" wrapText="1"/>
    </xf>
    <xf numFmtId="0" fontId="35" fillId="0" borderId="0" xfId="0" applyFont="1" applyAlignment="1">
      <alignment horizontal="left"/>
    </xf>
    <xf numFmtId="0" fontId="24" fillId="0" borderId="0" xfId="0" applyFont="1" applyAlignment="1">
      <alignment vertical="top" wrapText="1"/>
    </xf>
    <xf numFmtId="0" fontId="24" fillId="0" borderId="0" xfId="1192" applyFont="1" applyAlignment="1">
      <alignment horizontal="left" vertical="top" wrapText="1"/>
    </xf>
    <xf numFmtId="4" fontId="35" fillId="0" borderId="0" xfId="569" applyNumberFormat="1" applyFont="1" applyAlignment="1">
      <alignment horizontal="left" vertical="top" wrapText="1"/>
    </xf>
    <xf numFmtId="0" fontId="17" fillId="0" borderId="0" xfId="569" applyAlignment="1">
      <alignment horizontal="left"/>
    </xf>
    <xf numFmtId="0" fontId="24" fillId="0" borderId="4" xfId="569" applyFont="1" applyBorder="1" applyAlignment="1">
      <alignment horizontal="left" vertical="top"/>
    </xf>
    <xf numFmtId="0" fontId="17" fillId="0" borderId="0" xfId="569" applyAlignment="1">
      <alignment horizontal="left" vertical="top" wrapText="1"/>
    </xf>
    <xf numFmtId="0" fontId="18" fillId="0" borderId="0" xfId="244" quotePrefix="1" applyAlignment="1" applyProtection="1">
      <alignment horizontal="left"/>
    </xf>
    <xf numFmtId="0" fontId="17" fillId="0" borderId="0" xfId="569" applyAlignment="1">
      <alignment horizontal="left" vertical="top"/>
    </xf>
    <xf numFmtId="0" fontId="17" fillId="0" borderId="0" xfId="0" quotePrefix="1" applyFont="1" applyAlignment="1">
      <alignment horizontal="left" vertical="top"/>
    </xf>
    <xf numFmtId="0" fontId="35" fillId="0" borderId="0" xfId="0" applyFont="1" applyAlignment="1">
      <alignment horizontal="left" vertical="top" wrapText="1"/>
    </xf>
    <xf numFmtId="0" fontId="17" fillId="0" borderId="0" xfId="0" quotePrefix="1" applyFont="1" applyAlignment="1">
      <alignment horizontal="left" vertical="top" wrapText="1"/>
    </xf>
    <xf numFmtId="4" fontId="17" fillId="0" borderId="0" xfId="569" applyNumberFormat="1" applyAlignment="1">
      <alignment horizontal="left" vertical="top" wrapText="1"/>
    </xf>
    <xf numFmtId="0" fontId="24" fillId="0" borderId="4" xfId="569" applyFont="1" applyBorder="1" applyAlignment="1">
      <alignment horizontal="left"/>
    </xf>
    <xf numFmtId="0" fontId="35" fillId="0" borderId="0" xfId="569" applyFont="1" applyAlignment="1">
      <alignment horizontal="left"/>
    </xf>
    <xf numFmtId="0" fontId="17" fillId="0" borderId="0" xfId="1192" applyAlignment="1" applyProtection="1">
      <alignment horizontal="left" vertical="top" wrapText="1"/>
      <protection locked="0"/>
    </xf>
    <xf numFmtId="0" fontId="0" fillId="0" borderId="0" xfId="0" applyAlignment="1">
      <alignment horizontal="left" vertical="top" wrapText="1"/>
    </xf>
    <xf numFmtId="0" fontId="35" fillId="0" borderId="0" xfId="1192" applyFont="1" applyAlignment="1">
      <alignment horizontal="left" vertical="top" wrapText="1"/>
    </xf>
    <xf numFmtId="4" fontId="17" fillId="0" borderId="0" xfId="1192" applyNumberFormat="1" applyAlignment="1">
      <alignment horizontal="left" vertical="top" wrapText="1"/>
    </xf>
    <xf numFmtId="0" fontId="17" fillId="0" borderId="0" xfId="569" applyAlignment="1">
      <alignment vertical="top" wrapText="1"/>
    </xf>
    <xf numFmtId="4" fontId="35" fillId="0" borderId="0" xfId="0" applyNumberFormat="1" applyFont="1" applyAlignment="1">
      <alignment horizontal="left" vertical="top" wrapText="1"/>
    </xf>
    <xf numFmtId="0" fontId="24" fillId="0" borderId="4" xfId="0" applyFont="1" applyBorder="1" applyAlignment="1">
      <alignment horizontal="left" vertical="top"/>
    </xf>
    <xf numFmtId="0" fontId="35" fillId="0" borderId="0" xfId="569" applyFont="1" applyAlignment="1">
      <alignment horizontal="left" vertical="top" wrapText="1"/>
    </xf>
    <xf numFmtId="0" fontId="17" fillId="0" borderId="0" xfId="1192" applyAlignment="1">
      <alignment horizontal="left"/>
    </xf>
    <xf numFmtId="0" fontId="24" fillId="0" borderId="0" xfId="569" applyFont="1" applyAlignment="1">
      <alignment horizontal="center"/>
    </xf>
    <xf numFmtId="0" fontId="18" fillId="0" borderId="0" xfId="244" applyNumberFormat="1" applyFill="1" applyAlignment="1" applyProtection="1">
      <alignment horizontal="left"/>
    </xf>
    <xf numFmtId="0" fontId="35" fillId="0" borderId="0" xfId="569" applyFont="1" applyAlignment="1">
      <alignment horizontal="left" wrapText="1"/>
    </xf>
    <xf numFmtId="0" fontId="35" fillId="0" borderId="0" xfId="569" applyFont="1" applyAlignment="1">
      <alignment horizontal="center" wrapText="1"/>
    </xf>
    <xf numFmtId="49" fontId="17" fillId="0" borderId="0" xfId="1192" applyNumberFormat="1" applyAlignment="1">
      <alignment horizontal="left" vertical="top" wrapText="1"/>
    </xf>
    <xf numFmtId="0" fontId="17" fillId="0" borderId="0" xfId="569" applyAlignment="1">
      <alignment horizontal="left" vertical="center" wrapText="1"/>
    </xf>
    <xf numFmtId="0" fontId="24" fillId="0" borderId="0" xfId="0" applyFont="1" applyAlignment="1">
      <alignment horizontal="left" vertical="top"/>
    </xf>
    <xf numFmtId="0" fontId="24" fillId="0" borderId="0" xfId="569" applyFont="1" applyAlignment="1">
      <alignment horizontal="left"/>
    </xf>
    <xf numFmtId="0" fontId="35" fillId="0" borderId="0" xfId="1192" applyFont="1" applyAlignment="1">
      <alignment horizontal="left"/>
    </xf>
    <xf numFmtId="0" fontId="17" fillId="0" borderId="27" xfId="569" applyBorder="1" applyAlignment="1">
      <alignment horizontal="left"/>
    </xf>
    <xf numFmtId="0" fontId="24" fillId="0" borderId="16" xfId="569" applyFont="1" applyBorder="1" applyAlignment="1">
      <alignment horizontal="left"/>
    </xf>
    <xf numFmtId="0" fontId="18" fillId="0" borderId="0" xfId="244" applyAlignment="1" applyProtection="1">
      <alignment horizontal="left" vertical="top" wrapText="1"/>
    </xf>
    <xf numFmtId="0" fontId="35" fillId="0" borderId="0" xfId="569" applyFont="1" applyAlignment="1">
      <alignment horizontal="center"/>
    </xf>
    <xf numFmtId="168" fontId="17" fillId="0" borderId="11" xfId="543" applyNumberFormat="1" applyBorder="1" applyAlignment="1">
      <alignment horizontal="center"/>
    </xf>
    <xf numFmtId="168" fontId="17" fillId="10" borderId="3" xfId="543" applyNumberFormat="1" applyFill="1" applyBorder="1" applyAlignment="1">
      <alignment horizontal="center"/>
    </xf>
    <xf numFmtId="168" fontId="17" fillId="10" borderId="4" xfId="543" applyNumberFormat="1" applyFill="1" applyBorder="1" applyAlignment="1">
      <alignment horizontal="center"/>
    </xf>
    <xf numFmtId="168" fontId="17" fillId="10" borderId="5" xfId="543" applyNumberFormat="1" applyFill="1" applyBorder="1" applyAlignment="1">
      <alignment horizontal="center"/>
    </xf>
    <xf numFmtId="0" fontId="53" fillId="5" borderId="3" xfId="0" applyFont="1" applyFill="1" applyBorder="1" applyAlignment="1" applyProtection="1">
      <alignment horizontal="right"/>
      <protection locked="0"/>
    </xf>
    <xf numFmtId="0" fontId="53" fillId="5" borderId="4" xfId="0" applyFont="1" applyFill="1" applyBorder="1" applyAlignment="1" applyProtection="1">
      <alignment horizontal="right"/>
      <protection locked="0"/>
    </xf>
    <xf numFmtId="0" fontId="53" fillId="5" borderId="5" xfId="0" applyFont="1" applyFill="1" applyBorder="1" applyAlignment="1" applyProtection="1">
      <alignment horizontal="right"/>
      <protection locked="0"/>
    </xf>
    <xf numFmtId="168" fontId="17" fillId="5" borderId="3" xfId="0" applyNumberFormat="1" applyFont="1" applyFill="1" applyBorder="1" applyAlignment="1" applyProtection="1">
      <alignment horizontal="right"/>
      <protection locked="0"/>
    </xf>
    <xf numFmtId="168" fontId="17" fillId="5" borderId="4" xfId="0" applyNumberFormat="1" applyFont="1" applyFill="1" applyBorder="1" applyAlignment="1" applyProtection="1">
      <alignment horizontal="right"/>
      <protection locked="0"/>
    </xf>
    <xf numFmtId="168" fontId="17" fillId="5" borderId="5" xfId="0" applyNumberFormat="1" applyFont="1" applyFill="1" applyBorder="1" applyAlignment="1" applyProtection="1">
      <alignment horizontal="right"/>
      <protection locked="0"/>
    </xf>
    <xf numFmtId="182" fontId="25" fillId="43" borderId="11" xfId="8721" applyNumberFormat="1" applyFont="1" applyFill="1" applyBorder="1" applyAlignment="1" applyProtection="1">
      <alignment horizontal="center" vertical="center" wrapText="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4" fillId="0" borderId="8" xfId="543" applyFont="1" applyBorder="1" applyAlignment="1">
      <alignment horizontal="left" vertical="center" wrapText="1"/>
    </xf>
    <xf numFmtId="0" fontId="24" fillId="0" borderId="0" xfId="543" applyFont="1" applyAlignment="1">
      <alignment horizontal="left" vertical="center" wrapText="1"/>
    </xf>
    <xf numFmtId="0" fontId="24" fillId="0" borderId="12" xfId="543" applyFont="1" applyBorder="1" applyAlignment="1">
      <alignment horizontal="left" vertical="center" wrapText="1"/>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5" fillId="5" borderId="3" xfId="0" applyFont="1" applyFill="1" applyBorder="1" applyAlignment="1" applyProtection="1">
      <alignment horizontal="left"/>
      <protection locked="0"/>
    </xf>
    <xf numFmtId="0" fontId="25" fillId="5" borderId="4" xfId="0" applyFont="1" applyFill="1" applyBorder="1" applyAlignment="1" applyProtection="1">
      <alignment horizontal="left"/>
      <protection locked="0"/>
    </xf>
    <xf numFmtId="0" fontId="25" fillId="5" borderId="5" xfId="0" applyFont="1" applyFill="1" applyBorder="1" applyAlignment="1" applyProtection="1">
      <alignment horizontal="left"/>
      <protection locked="0"/>
    </xf>
    <xf numFmtId="0" fontId="17" fillId="0" borderId="3" xfId="543" applyBorder="1" applyAlignment="1">
      <alignment horizontal="center"/>
    </xf>
    <xf numFmtId="0" fontId="17" fillId="0" borderId="4" xfId="543" applyBorder="1" applyAlignment="1">
      <alignment horizontal="center"/>
    </xf>
    <xf numFmtId="0" fontId="17" fillId="0" borderId="5" xfId="543" applyBorder="1" applyAlignment="1">
      <alignment horizontal="center"/>
    </xf>
    <xf numFmtId="0" fontId="38" fillId="0" borderId="3" xfId="543" applyFont="1" applyBorder="1" applyAlignment="1">
      <alignment horizontal="center"/>
    </xf>
    <xf numFmtId="0" fontId="38" fillId="0" borderId="4" xfId="543" applyFont="1" applyBorder="1" applyAlignment="1">
      <alignment horizontal="center"/>
    </xf>
    <xf numFmtId="0" fontId="38" fillId="0" borderId="5" xfId="543" applyFont="1" applyBorder="1" applyAlignment="1">
      <alignment horizontal="center"/>
    </xf>
    <xf numFmtId="1" fontId="17" fillId="0" borderId="3" xfId="543" applyNumberFormat="1" applyBorder="1" applyAlignment="1">
      <alignment horizontal="center"/>
    </xf>
    <xf numFmtId="1" fontId="17" fillId="0" borderId="4" xfId="543" applyNumberFormat="1" applyBorder="1" applyAlignment="1">
      <alignment horizontal="center"/>
    </xf>
    <xf numFmtId="1" fontId="17" fillId="0" borderId="5" xfId="543" applyNumberFormat="1" applyBorder="1" applyAlignment="1">
      <alignment horizontal="center"/>
    </xf>
    <xf numFmtId="0" fontId="23" fillId="3" borderId="0" xfId="0" applyFont="1" applyFill="1" applyAlignment="1">
      <alignment horizontal="center" vertical="center"/>
    </xf>
    <xf numFmtId="168" fontId="17" fillId="0" borderId="1" xfId="543" applyNumberFormat="1" applyBorder="1" applyAlignment="1">
      <alignment horizontal="center" vertical="center"/>
    </xf>
    <xf numFmtId="168" fontId="17" fillId="0" borderId="2" xfId="543" applyNumberFormat="1" applyBorder="1" applyAlignment="1">
      <alignment horizontal="center" vertical="center"/>
    </xf>
    <xf numFmtId="168" fontId="17" fillId="0" borderId="7" xfId="543" applyNumberFormat="1" applyBorder="1" applyAlignment="1">
      <alignment horizontal="center" vertical="center"/>
    </xf>
    <xf numFmtId="168" fontId="17" fillId="0" borderId="8" xfId="543" applyNumberFormat="1" applyBorder="1" applyAlignment="1">
      <alignment horizontal="center" vertical="center"/>
    </xf>
    <xf numFmtId="168" fontId="17" fillId="0" borderId="0" xfId="543" applyNumberFormat="1" applyAlignment="1">
      <alignment horizontal="center" vertical="center"/>
    </xf>
    <xf numFmtId="168" fontId="17" fillId="0" borderId="12" xfId="543" applyNumberFormat="1" applyBorder="1" applyAlignment="1">
      <alignment horizontal="center" vertical="center"/>
    </xf>
    <xf numFmtId="168" fontId="17" fillId="0" borderId="9" xfId="543" applyNumberFormat="1" applyBorder="1" applyAlignment="1">
      <alignment horizontal="center" vertical="center"/>
    </xf>
    <xf numFmtId="168" fontId="17" fillId="0" borderId="6" xfId="543" applyNumberFormat="1" applyBorder="1" applyAlignment="1">
      <alignment horizontal="center" vertical="center"/>
    </xf>
    <xf numFmtId="168" fontId="17" fillId="0" borderId="10" xfId="543" applyNumberFormat="1" applyBorder="1" applyAlignment="1">
      <alignment horizontal="center" vertical="center"/>
    </xf>
    <xf numFmtId="0" fontId="25" fillId="5" borderId="3" xfId="543" applyFont="1"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0" fontId="0" fillId="0" borderId="0" xfId="0" applyAlignment="1">
      <alignment horizontal="center"/>
    </xf>
    <xf numFmtId="0" fontId="0" fillId="5" borderId="6" xfId="0" applyFill="1" applyBorder="1" applyAlignment="1" applyProtection="1">
      <alignment horizontal="center"/>
      <protection locked="0"/>
    </xf>
    <xf numFmtId="0" fontId="26" fillId="0" borderId="0" xfId="543" applyFont="1" applyAlignment="1">
      <alignment horizontal="center"/>
    </xf>
    <xf numFmtId="0" fontId="17" fillId="0" borderId="0" xfId="0" applyFont="1" applyAlignment="1">
      <alignment vertical="center" wrapText="1"/>
    </xf>
    <xf numFmtId="0" fontId="17" fillId="0" borderId="0" xfId="543" applyAlignment="1">
      <alignment wrapText="1"/>
    </xf>
    <xf numFmtId="168" fontId="26" fillId="5" borderId="3" xfId="0" applyNumberFormat="1" applyFont="1" applyFill="1" applyBorder="1" applyAlignment="1" applyProtection="1">
      <alignment horizontal="center"/>
      <protection locked="0"/>
    </xf>
    <xf numFmtId="168" fontId="26" fillId="5" borderId="4" xfId="0" applyNumberFormat="1" applyFont="1" applyFill="1" applyBorder="1" applyAlignment="1" applyProtection="1">
      <alignment horizontal="center"/>
      <protection locked="0"/>
    </xf>
    <xf numFmtId="168" fontId="26" fillId="5" borderId="5" xfId="0" applyNumberFormat="1" applyFont="1" applyFill="1" applyBorder="1" applyAlignment="1" applyProtection="1">
      <alignment horizontal="center"/>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0" fillId="0" borderId="6" xfId="0"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5" borderId="6" xfId="0" applyFill="1" applyBorder="1" applyAlignment="1" applyProtection="1">
      <alignment horizontal="left"/>
      <protection locked="0"/>
    </xf>
    <xf numFmtId="0" fontId="26" fillId="5" borderId="3" xfId="0" applyFont="1" applyFill="1" applyBorder="1" applyAlignment="1" applyProtection="1">
      <alignment horizontal="center"/>
      <protection locked="0"/>
    </xf>
    <xf numFmtId="0" fontId="26" fillId="5" borderId="4" xfId="0" applyFont="1" applyFill="1" applyBorder="1" applyAlignment="1" applyProtection="1">
      <alignment horizontal="center"/>
      <protection locked="0"/>
    </xf>
    <xf numFmtId="0" fontId="26" fillId="5" borderId="5" xfId="0" applyFont="1" applyFill="1" applyBorder="1" applyAlignment="1" applyProtection="1">
      <alignment horizontal="center"/>
      <protection locked="0"/>
    </xf>
    <xf numFmtId="0" fontId="0" fillId="5" borderId="4" xfId="0" applyFill="1" applyBorder="1" applyAlignment="1" applyProtection="1">
      <alignment horizontal="left"/>
      <protection locked="0"/>
    </xf>
    <xf numFmtId="1" fontId="26" fillId="5" borderId="3" xfId="0" applyNumberFormat="1" applyFont="1" applyFill="1" applyBorder="1" applyAlignment="1" applyProtection="1">
      <alignment horizontal="center"/>
      <protection locked="0"/>
    </xf>
    <xf numFmtId="1" fontId="26" fillId="5" borderId="4" xfId="0" applyNumberFormat="1" applyFont="1" applyFill="1" applyBorder="1" applyAlignment="1" applyProtection="1">
      <alignment horizontal="center"/>
      <protection locked="0"/>
    </xf>
    <xf numFmtId="1" fontId="26" fillId="5" borderId="5" xfId="0" applyNumberFormat="1" applyFont="1" applyFill="1" applyBorder="1" applyAlignment="1" applyProtection="1">
      <alignment horizontal="center"/>
      <protection locked="0"/>
    </xf>
    <xf numFmtId="168" fontId="26" fillId="0" borderId="3" xfId="0" applyNumberFormat="1" applyFont="1" applyBorder="1" applyAlignment="1">
      <alignment horizontal="center"/>
    </xf>
    <xf numFmtId="168" fontId="26" fillId="0" borderId="4" xfId="0" applyNumberFormat="1" applyFont="1" applyBorder="1" applyAlignment="1">
      <alignment horizontal="center"/>
    </xf>
    <xf numFmtId="168" fontId="26" fillId="0" borderId="5" xfId="0" applyNumberFormat="1" applyFont="1" applyBorder="1" applyAlignment="1">
      <alignment horizontal="center"/>
    </xf>
    <xf numFmtId="165" fontId="26" fillId="0" borderId="1" xfId="0" applyNumberFormat="1" applyFont="1" applyBorder="1" applyAlignment="1">
      <alignment horizontal="right"/>
    </xf>
    <xf numFmtId="165" fontId="26" fillId="0" borderId="2" xfId="0" applyNumberFormat="1" applyFont="1" applyBorder="1" applyAlignment="1">
      <alignment horizontal="right"/>
    </xf>
    <xf numFmtId="165" fontId="26" fillId="0" borderId="7" xfId="0" applyNumberFormat="1" applyFont="1" applyBorder="1" applyAlignment="1">
      <alignment horizontal="right"/>
    </xf>
    <xf numFmtId="0" fontId="0" fillId="0" borderId="9" xfId="0" applyBorder="1" applyAlignment="1">
      <alignment horizontal="left"/>
    </xf>
    <xf numFmtId="0" fontId="37" fillId="0" borderId="4" xfId="543" applyFont="1" applyBorder="1" applyAlignment="1">
      <alignment horizontal="right" vertical="top" wrapText="1"/>
    </xf>
    <xf numFmtId="0" fontId="37" fillId="0" borderId="5" xfId="543" applyFont="1" applyBorder="1" applyAlignment="1">
      <alignment horizontal="right" vertical="top" wrapText="1"/>
    </xf>
    <xf numFmtId="0" fontId="17" fillId="0" borderId="8" xfId="543" applyBorder="1" applyAlignment="1">
      <alignment horizontal="left" vertical="top" wrapText="1"/>
    </xf>
    <xf numFmtId="0" fontId="17" fillId="0" borderId="0" xfId="543" applyAlignment="1">
      <alignment horizontal="left" vertical="top" wrapText="1"/>
    </xf>
    <xf numFmtId="0" fontId="17" fillId="0" borderId="12" xfId="543" applyBorder="1" applyAlignment="1">
      <alignment horizontal="left" vertical="top" wrapText="1"/>
    </xf>
    <xf numFmtId="0" fontId="25" fillId="0" borderId="3" xfId="543" applyFont="1" applyBorder="1" applyAlignment="1">
      <alignment horizontal="center"/>
    </xf>
    <xf numFmtId="0" fontId="25" fillId="0" borderId="5" xfId="543" applyFont="1" applyBorder="1" applyAlignment="1">
      <alignment horizontal="center"/>
    </xf>
    <xf numFmtId="1" fontId="25" fillId="0" borderId="3" xfId="543" applyNumberFormat="1" applyFont="1" applyBorder="1" applyAlignment="1">
      <alignment horizontal="center"/>
    </xf>
    <xf numFmtId="1" fontId="25" fillId="0" borderId="5" xfId="543" applyNumberFormat="1" applyFont="1" applyBorder="1" applyAlignment="1">
      <alignment horizontal="center"/>
    </xf>
    <xf numFmtId="0" fontId="36" fillId="0" borderId="3" xfId="543" applyFont="1" applyBorder="1" applyAlignment="1">
      <alignment horizontal="center"/>
    </xf>
    <xf numFmtId="0" fontId="36" fillId="0" borderId="5" xfId="543" applyFont="1" applyBorder="1" applyAlignment="1">
      <alignment horizontal="center"/>
    </xf>
    <xf numFmtId="0" fontId="36" fillId="5" borderId="3" xfId="543" applyFont="1" applyFill="1" applyBorder="1" applyAlignment="1" applyProtection="1">
      <alignment horizontal="center"/>
      <protection locked="0"/>
    </xf>
    <xf numFmtId="0" fontId="36" fillId="5" borderId="5" xfId="543" applyFont="1" applyFill="1" applyBorder="1" applyAlignment="1" applyProtection="1">
      <alignment horizontal="center"/>
      <protection locked="0"/>
    </xf>
    <xf numFmtId="9" fontId="26" fillId="5" borderId="3" xfId="0" applyNumberFormat="1" applyFont="1" applyFill="1" applyBorder="1" applyAlignment="1" applyProtection="1">
      <alignment horizontal="center"/>
      <protection locked="0"/>
    </xf>
    <xf numFmtId="9" fontId="26" fillId="5" borderId="4" xfId="0" applyNumberFormat="1" applyFont="1" applyFill="1" applyBorder="1" applyAlignment="1" applyProtection="1">
      <alignment horizontal="center"/>
      <protection locked="0"/>
    </xf>
    <xf numFmtId="9" fontId="26" fillId="5" borderId="5" xfId="0" applyNumberFormat="1" applyFont="1" applyFill="1" applyBorder="1" applyAlignment="1" applyProtection="1">
      <alignment horizontal="center"/>
      <protection locked="0"/>
    </xf>
    <xf numFmtId="0" fontId="26" fillId="0" borderId="1" xfId="0" applyFont="1" applyBorder="1" applyAlignment="1">
      <alignment horizontal="center" vertical="top" wrapText="1"/>
    </xf>
    <xf numFmtId="0" fontId="26" fillId="0" borderId="2" xfId="0" applyFont="1" applyBorder="1" applyAlignment="1">
      <alignment horizontal="center" vertical="top" wrapText="1"/>
    </xf>
    <xf numFmtId="0" fontId="26" fillId="0" borderId="7" xfId="0" applyFont="1" applyBorder="1" applyAlignment="1">
      <alignment horizontal="center" vertical="top" wrapText="1"/>
    </xf>
    <xf numFmtId="0" fontId="26" fillId="0" borderId="8" xfId="0" applyFont="1" applyBorder="1" applyAlignment="1">
      <alignment horizontal="center" vertical="top" wrapText="1"/>
    </xf>
    <xf numFmtId="0" fontId="26" fillId="0" borderId="0" xfId="0" applyFont="1" applyAlignment="1">
      <alignment horizontal="center" vertical="top" wrapText="1"/>
    </xf>
    <xf numFmtId="0" fontId="26" fillId="0" borderId="12" xfId="0" applyFont="1" applyBorder="1" applyAlignment="1">
      <alignment horizontal="center" vertical="top" wrapText="1"/>
    </xf>
    <xf numFmtId="0" fontId="26" fillId="0" borderId="9" xfId="0" applyFont="1" applyBorder="1" applyAlignment="1">
      <alignment horizontal="center" vertical="top" wrapText="1"/>
    </xf>
    <xf numFmtId="0" fontId="26" fillId="0" borderId="6" xfId="0" applyFont="1" applyBorder="1" applyAlignment="1">
      <alignment horizontal="center" vertical="top" wrapText="1"/>
    </xf>
    <xf numFmtId="0" fontId="26" fillId="0" borderId="10" xfId="0" applyFont="1" applyBorder="1" applyAlignment="1">
      <alignment horizontal="center" vertical="top" wrapText="1"/>
    </xf>
    <xf numFmtId="0" fontId="24" fillId="0" borderId="0" xfId="0" applyFont="1" applyAlignment="1">
      <alignment horizontal="center"/>
    </xf>
    <xf numFmtId="0" fontId="159" fillId="0" borderId="8" xfId="543" applyFont="1" applyBorder="1" applyAlignment="1">
      <alignment horizontal="center" wrapText="1"/>
    </xf>
    <xf numFmtId="0" fontId="159" fillId="0" borderId="0" xfId="543" applyFont="1" applyAlignment="1">
      <alignment horizontal="center" wrapText="1"/>
    </xf>
    <xf numFmtId="0" fontId="159" fillId="0" borderId="12" xfId="543" applyFont="1" applyBorder="1" applyAlignment="1">
      <alignment horizontal="center" wrapText="1"/>
    </xf>
    <xf numFmtId="0" fontId="159" fillId="0" borderId="9" xfId="543" applyFont="1" applyBorder="1" applyAlignment="1">
      <alignment horizontal="center" wrapText="1"/>
    </xf>
    <xf numFmtId="0" fontId="159" fillId="0" borderId="6" xfId="543" applyFont="1" applyBorder="1" applyAlignment="1">
      <alignment horizontal="center" wrapText="1"/>
    </xf>
    <xf numFmtId="0" fontId="159" fillId="0" borderId="10" xfId="543" applyFont="1" applyBorder="1" applyAlignment="1">
      <alignment horizontal="center" wrapText="1"/>
    </xf>
    <xf numFmtId="0" fontId="159" fillId="0" borderId="8" xfId="543" applyFont="1" applyBorder="1" applyAlignment="1">
      <alignment horizontal="center" vertical="top" wrapText="1"/>
    </xf>
    <xf numFmtId="0" fontId="159" fillId="0" borderId="0" xfId="543" applyFont="1" applyAlignment="1">
      <alignment horizontal="center" vertical="top" wrapText="1"/>
    </xf>
    <xf numFmtId="0" fontId="159" fillId="0" borderId="12" xfId="543" applyFont="1" applyBorder="1" applyAlignment="1">
      <alignment horizontal="center" vertical="top" wrapText="1"/>
    </xf>
    <xf numFmtId="0" fontId="159" fillId="0" borderId="9" xfId="543" applyFont="1" applyBorder="1" applyAlignment="1">
      <alignment horizontal="center" vertical="top" wrapText="1"/>
    </xf>
    <xf numFmtId="0" fontId="159" fillId="0" borderId="6" xfId="543" applyFont="1" applyBorder="1" applyAlignment="1">
      <alignment horizontal="center" vertical="top" wrapText="1"/>
    </xf>
    <xf numFmtId="0" fontId="159" fillId="0" borderId="10" xfId="543" applyFont="1" applyBorder="1" applyAlignment="1">
      <alignment horizontal="center" vertical="top" wrapText="1"/>
    </xf>
    <xf numFmtId="0" fontId="156" fillId="0" borderId="0" xfId="0" applyFont="1" applyAlignment="1">
      <alignment horizontal="center" vertical="center" wrapText="1"/>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50" fillId="0" borderId="0" xfId="0" applyFont="1" applyAlignment="1">
      <alignment horizontal="center"/>
    </xf>
    <xf numFmtId="0" fontId="17" fillId="0" borderId="0" xfId="0" applyFont="1" applyAlignment="1">
      <alignment horizontal="center"/>
    </xf>
    <xf numFmtId="0" fontId="32" fillId="0" borderId="0" xfId="0" applyFont="1" applyAlignment="1">
      <alignment horizontal="center"/>
    </xf>
    <xf numFmtId="0" fontId="17" fillId="0" borderId="0" xfId="0" applyFont="1" applyAlignment="1">
      <alignment wrapText="1"/>
    </xf>
    <xf numFmtId="0" fontId="17" fillId="0" borderId="0" xfId="0" applyFont="1" applyAlignment="1">
      <alignment horizontal="center" vertical="top"/>
    </xf>
    <xf numFmtId="0" fontId="26" fillId="0" borderId="0" xfId="0" applyFont="1" applyAlignment="1">
      <alignment horizontal="left" vertical="top" wrapText="1"/>
    </xf>
    <xf numFmtId="0" fontId="17" fillId="5" borderId="6" xfId="0" applyFont="1" applyFill="1" applyBorder="1" applyAlignment="1" applyProtection="1">
      <alignment horizontal="left"/>
      <protection locked="0"/>
    </xf>
    <xf numFmtId="0" fontId="26" fillId="5" borderId="6" xfId="0" applyFont="1" applyFill="1" applyBorder="1" applyAlignment="1" applyProtection="1">
      <alignment horizontal="left"/>
      <protection locked="0"/>
    </xf>
    <xf numFmtId="168" fontId="26" fillId="0" borderId="6" xfId="0" applyNumberFormat="1" applyFont="1" applyBorder="1" applyAlignment="1">
      <alignment horizontal="center"/>
    </xf>
    <xf numFmtId="0" fontId="17" fillId="5" borderId="6" xfId="0" applyFont="1" applyFill="1" applyBorder="1" applyAlignment="1" applyProtection="1">
      <alignment horizontal="left" wrapText="1"/>
      <protection locked="0"/>
    </xf>
    <xf numFmtId="0" fontId="26" fillId="5" borderId="6" xfId="0" applyFont="1" applyFill="1" applyBorder="1" applyAlignment="1" applyProtection="1">
      <alignment horizontal="left" wrapText="1"/>
      <protection locked="0"/>
    </xf>
    <xf numFmtId="0" fontId="25" fillId="0" borderId="0" xfId="0" applyFont="1" applyAlignment="1">
      <alignment horizontal="center"/>
    </xf>
    <xf numFmtId="166" fontId="17" fillId="5" borderId="6" xfId="0" applyNumberFormat="1" applyFont="1" applyFill="1" applyBorder="1" applyAlignment="1" applyProtection="1">
      <alignment horizontal="left"/>
      <protection locked="0"/>
    </xf>
    <xf numFmtId="166" fontId="26"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6" fillId="5" borderId="4" xfId="0" applyFont="1" applyFill="1" applyBorder="1" applyAlignment="1" applyProtection="1">
      <alignment wrapText="1"/>
      <protection locked="0"/>
    </xf>
    <xf numFmtId="0" fontId="24" fillId="0" borderId="2"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0" xfId="0" applyFont="1" applyAlignment="1">
      <alignment horizontal="center" vertical="center" wrapText="1"/>
    </xf>
    <xf numFmtId="0" fontId="24" fillId="0" borderId="12"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0" xfId="0" applyFont="1" applyBorder="1" applyAlignment="1">
      <alignment horizontal="center" vertical="center" wrapText="1"/>
    </xf>
    <xf numFmtId="0" fontId="26" fillId="5" borderId="4" xfId="0" applyFont="1" applyFill="1" applyBorder="1" applyAlignment="1" applyProtection="1">
      <alignment horizontal="left"/>
      <protection locked="0"/>
    </xf>
    <xf numFmtId="175" fontId="17" fillId="43" borderId="3" xfId="0" applyNumberFormat="1" applyFont="1" applyFill="1" applyBorder="1" applyAlignment="1" applyProtection="1">
      <alignment horizontal="center"/>
      <protection locked="0"/>
    </xf>
    <xf numFmtId="175" fontId="17" fillId="43" borderId="4" xfId="0" applyNumberFormat="1" applyFont="1" applyFill="1" applyBorder="1" applyAlignment="1" applyProtection="1">
      <alignment horizontal="center"/>
      <protection locked="0"/>
    </xf>
    <xf numFmtId="175" fontId="17" fillId="43" borderId="5" xfId="0" applyNumberFormat="1" applyFont="1" applyFill="1" applyBorder="1" applyAlignment="1" applyProtection="1">
      <alignment horizontal="center"/>
      <protection locked="0"/>
    </xf>
    <xf numFmtId="180" fontId="0" fillId="0" borderId="6" xfId="0" applyNumberFormat="1" applyBorder="1" applyAlignment="1">
      <alignment horizontal="center"/>
    </xf>
    <xf numFmtId="0" fontId="24" fillId="0" borderId="11" xfId="0" applyFont="1" applyBorder="1" applyAlignment="1">
      <alignment horizontal="center" vertical="center" wrapText="1"/>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80" fontId="25" fillId="43" borderId="3" xfId="0" applyNumberFormat="1" applyFont="1" applyFill="1" applyBorder="1" applyAlignment="1" applyProtection="1">
      <alignment horizontal="center" vertical="center"/>
      <protection locked="0"/>
    </xf>
    <xf numFmtId="180" fontId="25" fillId="43" borderId="4" xfId="0" applyNumberFormat="1" applyFont="1" applyFill="1" applyBorder="1" applyAlignment="1" applyProtection="1">
      <alignment horizontal="center" vertical="center"/>
      <protection locked="0"/>
    </xf>
    <xf numFmtId="180" fontId="25" fillId="43" borderId="5" xfId="0" applyNumberFormat="1" applyFont="1" applyFill="1" applyBorder="1" applyAlignment="1" applyProtection="1">
      <alignment horizontal="center" vertical="center"/>
      <protection locked="0"/>
    </xf>
    <xf numFmtId="0" fontId="17" fillId="5" borderId="11" xfId="0" applyFont="1" applyFill="1" applyBorder="1" applyAlignment="1" applyProtection="1">
      <alignment horizontal="left" wrapText="1"/>
      <protection locked="0"/>
    </xf>
    <xf numFmtId="0" fontId="0" fillId="0" borderId="11" xfId="0" applyBorder="1" applyAlignment="1">
      <alignment horizontal="center"/>
    </xf>
    <xf numFmtId="0" fontId="26" fillId="2" borderId="11" xfId="0" applyFont="1" applyFill="1" applyBorder="1" applyAlignment="1">
      <alignment horizontal="center"/>
    </xf>
    <xf numFmtId="0" fontId="26" fillId="45" borderId="11" xfId="0" applyFont="1" applyFill="1" applyBorder="1" applyAlignment="1">
      <alignment horizontal="center"/>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4" fillId="0" borderId="3" xfId="0" applyFont="1" applyBorder="1" applyAlignment="1">
      <alignment horizontal="right"/>
    </xf>
    <xf numFmtId="0" fontId="24" fillId="0" borderId="4" xfId="0" applyFont="1" applyBorder="1" applyAlignment="1">
      <alignment horizontal="right"/>
    </xf>
    <xf numFmtId="0" fontId="24" fillId="0" borderId="5" xfId="0" applyFont="1" applyBorder="1" applyAlignment="1">
      <alignment horizontal="right"/>
    </xf>
    <xf numFmtId="166" fontId="26" fillId="5" borderId="4" xfId="0" applyNumberFormat="1" applyFont="1" applyFill="1" applyBorder="1" applyAlignment="1" applyProtection="1">
      <alignment horizontal="left"/>
      <protection locked="0"/>
    </xf>
    <xf numFmtId="0" fontId="17" fillId="0" borderId="11" xfId="543" applyBorder="1" applyAlignment="1">
      <alignment horizontal="center"/>
    </xf>
    <xf numFmtId="0" fontId="17" fillId="0" borderId="11" xfId="0" applyFont="1" applyBorder="1" applyAlignment="1">
      <alignment horizontal="center"/>
    </xf>
    <xf numFmtId="0" fontId="26" fillId="0" borderId="3" xfId="0" applyFont="1" applyBorder="1" applyAlignment="1">
      <alignment horizontal="center"/>
    </xf>
    <xf numFmtId="0" fontId="26" fillId="0" borderId="5" xfId="0" applyFont="1" applyBorder="1" applyAlignment="1">
      <alignment horizontal="center"/>
    </xf>
    <xf numFmtId="0" fontId="26" fillId="45" borderId="3" xfId="0" applyFont="1" applyFill="1" applyBorder="1" applyAlignment="1">
      <alignment horizontal="center"/>
    </xf>
    <xf numFmtId="0" fontId="26" fillId="45" borderId="4" xfId="0" applyFont="1" applyFill="1" applyBorder="1" applyAlignment="1">
      <alignment horizontal="center"/>
    </xf>
    <xf numFmtId="0" fontId="26" fillId="45" borderId="5" xfId="0" applyFont="1" applyFill="1" applyBorder="1" applyAlignment="1">
      <alignment horizontal="center"/>
    </xf>
    <xf numFmtId="0" fontId="26" fillId="0" borderId="4" xfId="0" applyFont="1" applyBorder="1" applyAlignment="1">
      <alignment horizontal="center"/>
    </xf>
    <xf numFmtId="0" fontId="40" fillId="0" borderId="3" xfId="0" applyFont="1" applyBorder="1" applyAlignment="1">
      <alignment horizontal="center"/>
    </xf>
    <xf numFmtId="0" fontId="40" fillId="0" borderId="4" xfId="0" applyFont="1" applyBorder="1" applyAlignment="1">
      <alignment horizontal="center"/>
    </xf>
    <xf numFmtId="0" fontId="40" fillId="0" borderId="5" xfId="0" applyFont="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17" fillId="0" borderId="3" xfId="0" applyFont="1" applyBorder="1" applyAlignment="1">
      <alignment horizontal="center"/>
    </xf>
    <xf numFmtId="0" fontId="17" fillId="0" borderId="4" xfId="0" applyFont="1" applyBorder="1" applyAlignment="1">
      <alignment horizontal="center"/>
    </xf>
    <xf numFmtId="0" fontId="17" fillId="0" borderId="5" xfId="0" applyFont="1" applyBorder="1" applyAlignment="1">
      <alignment horizontal="center"/>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0" fontId="24" fillId="10" borderId="3" xfId="543" applyFont="1" applyFill="1" applyBorder="1" applyAlignment="1">
      <alignment horizontal="center"/>
    </xf>
    <xf numFmtId="0" fontId="24" fillId="10" borderId="4" xfId="543" applyFont="1" applyFill="1" applyBorder="1" applyAlignment="1">
      <alignment horizontal="center"/>
    </xf>
    <xf numFmtId="0" fontId="24" fillId="10" borderId="5" xfId="543" applyFont="1" applyFill="1" applyBorder="1" applyAlignment="1">
      <alignment horizontal="center"/>
    </xf>
    <xf numFmtId="0" fontId="36" fillId="5" borderId="3" xfId="543" applyFont="1" applyFill="1" applyBorder="1" applyAlignment="1" applyProtection="1">
      <alignment horizontal="center" vertical="top"/>
      <protection locked="0"/>
    </xf>
    <xf numFmtId="0" fontId="36" fillId="5" borderId="5" xfId="543" applyFont="1" applyFill="1" applyBorder="1" applyAlignment="1" applyProtection="1">
      <alignment horizontal="center" vertical="top"/>
      <protection locked="0"/>
    </xf>
    <xf numFmtId="0" fontId="24" fillId="0" borderId="1" xfId="543" applyFont="1" applyBorder="1" applyAlignment="1">
      <alignment horizontal="left" vertical="center" wrapText="1"/>
    </xf>
    <xf numFmtId="0" fontId="24" fillId="0" borderId="2" xfId="543" applyFont="1" applyBorder="1" applyAlignment="1">
      <alignment horizontal="left" vertical="center" wrapText="1"/>
    </xf>
    <xf numFmtId="0" fontId="24" fillId="0" borderId="7" xfId="543" applyFont="1" applyBorder="1" applyAlignment="1">
      <alignment horizontal="left" vertical="center" wrapText="1"/>
    </xf>
    <xf numFmtId="0" fontId="17" fillId="0" borderId="9" xfId="543" applyBorder="1" applyAlignment="1">
      <alignment horizontal="left" vertical="top" wrapText="1"/>
    </xf>
    <xf numFmtId="0" fontId="17" fillId="0" borderId="6" xfId="543" applyBorder="1" applyAlignment="1">
      <alignment horizontal="left" vertical="top" wrapText="1"/>
    </xf>
    <xf numFmtId="0" fontId="17" fillId="0" borderId="10" xfId="543" applyBorder="1" applyAlignment="1">
      <alignment horizontal="left" vertical="top" wrapText="1"/>
    </xf>
    <xf numFmtId="0" fontId="44" fillId="0" borderId="8" xfId="543" applyFont="1" applyBorder="1" applyAlignment="1">
      <alignment horizontal="center" vertical="center" wrapText="1"/>
    </xf>
    <xf numFmtId="0" fontId="44" fillId="0" borderId="0" xfId="543" applyFont="1" applyAlignment="1">
      <alignment horizontal="center" vertical="center" wrapText="1"/>
    </xf>
    <xf numFmtId="0" fontId="44" fillId="0" borderId="12" xfId="543" applyFont="1" applyBorder="1" applyAlignment="1">
      <alignment horizontal="center" vertical="center" wrapText="1"/>
    </xf>
    <xf numFmtId="0" fontId="36" fillId="5" borderId="9" xfId="543" applyFont="1" applyFill="1" applyBorder="1" applyAlignment="1" applyProtection="1">
      <alignment horizontal="center"/>
      <protection locked="0"/>
    </xf>
    <xf numFmtId="0" fontId="36" fillId="5" borderId="10" xfId="543" applyFont="1" applyFill="1" applyBorder="1" applyAlignment="1" applyProtection="1">
      <alignment horizontal="center"/>
      <protection locked="0"/>
    </xf>
    <xf numFmtId="0" fontId="24" fillId="0" borderId="1" xfId="0" applyFont="1" applyBorder="1" applyAlignment="1">
      <alignment horizontal="center" wrapText="1"/>
    </xf>
    <xf numFmtId="0" fontId="24" fillId="0" borderId="2" xfId="0" applyFont="1" applyBorder="1" applyAlignment="1">
      <alignment horizontal="center" wrapText="1"/>
    </xf>
    <xf numFmtId="0" fontId="24" fillId="0" borderId="8" xfId="0" applyFont="1" applyBorder="1" applyAlignment="1">
      <alignment horizontal="center" wrapText="1"/>
    </xf>
    <xf numFmtId="0" fontId="24" fillId="0" borderId="0" xfId="0" applyFont="1" applyAlignment="1">
      <alignment horizontal="center" wrapText="1"/>
    </xf>
    <xf numFmtId="0" fontId="24" fillId="0" borderId="9" xfId="0" applyFont="1" applyBorder="1" applyAlignment="1">
      <alignment horizontal="center" wrapText="1"/>
    </xf>
    <xf numFmtId="0" fontId="24" fillId="0" borderId="6" xfId="0" applyFont="1" applyBorder="1" applyAlignment="1">
      <alignment horizontal="center" wrapText="1"/>
    </xf>
    <xf numFmtId="168" fontId="17"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17" fillId="0" borderId="8" xfId="0" applyFont="1" applyBorder="1" applyAlignment="1">
      <alignment horizontal="left" wrapText="1"/>
    </xf>
    <xf numFmtId="0" fontId="17" fillId="0" borderId="12" xfId="0" applyFont="1" applyBorder="1" applyAlignment="1">
      <alignment horizontal="left" wrapText="1"/>
    </xf>
    <xf numFmtId="0" fontId="17" fillId="0" borderId="9" xfId="0" applyFont="1" applyBorder="1" applyAlignment="1">
      <alignment horizontal="left" wrapText="1"/>
    </xf>
    <xf numFmtId="0" fontId="17" fillId="0" borderId="6" xfId="0" applyFont="1" applyBorder="1" applyAlignment="1">
      <alignment horizontal="left" wrapText="1"/>
    </xf>
    <xf numFmtId="0" fontId="17" fillId="0" borderId="10" xfId="0" applyFont="1" applyBorder="1" applyAlignment="1">
      <alignment horizontal="left" wrapText="1"/>
    </xf>
    <xf numFmtId="0" fontId="24" fillId="0" borderId="1" xfId="543" applyFont="1" applyBorder="1" applyAlignment="1">
      <alignment horizontal="left" vertical="top" wrapText="1"/>
    </xf>
    <xf numFmtId="0" fontId="24" fillId="0" borderId="2" xfId="543" applyFont="1" applyBorder="1" applyAlignment="1">
      <alignment horizontal="left" vertical="top" wrapText="1"/>
    </xf>
    <xf numFmtId="0" fontId="24" fillId="0" borderId="7" xfId="543" applyFont="1" applyBorder="1" applyAlignment="1">
      <alignment horizontal="left" vertical="top" wrapText="1"/>
    </xf>
    <xf numFmtId="0" fontId="24" fillId="0" borderId="8" xfId="543" applyFont="1" applyBorder="1" applyAlignment="1">
      <alignment horizontal="left" vertical="top" wrapText="1"/>
    </xf>
    <xf numFmtId="0" fontId="24" fillId="0" borderId="0" xfId="543" applyFont="1" applyAlignment="1">
      <alignment horizontal="left" vertical="top" wrapText="1"/>
    </xf>
    <xf numFmtId="0" fontId="24" fillId="0" borderId="12" xfId="543" applyFont="1" applyBorder="1" applyAlignment="1">
      <alignment horizontal="left" vertical="top" wrapText="1"/>
    </xf>
    <xf numFmtId="0" fontId="152" fillId="0" borderId="8" xfId="543" applyFont="1" applyBorder="1" applyAlignment="1">
      <alignment horizontal="center" vertical="center" wrapText="1"/>
    </xf>
    <xf numFmtId="0" fontId="152" fillId="0" borderId="0" xfId="543" applyFont="1" applyAlignment="1">
      <alignment horizontal="center" vertical="center" wrapText="1"/>
    </xf>
    <xf numFmtId="0" fontId="152" fillId="0" borderId="12" xfId="543" applyFont="1" applyBorder="1" applyAlignment="1">
      <alignment horizontal="center" vertical="center" wrapText="1"/>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36" fillId="5" borderId="3" xfId="0" applyNumberFormat="1" applyFont="1" applyFill="1" applyBorder="1" applyAlignment="1" applyProtection="1">
      <alignment horizontal="left"/>
      <protection locked="0"/>
    </xf>
    <xf numFmtId="164" fontId="36" fillId="5" borderId="4" xfId="0" applyNumberFormat="1" applyFont="1" applyFill="1" applyBorder="1" applyAlignment="1" applyProtection="1">
      <alignment horizontal="left"/>
      <protection locked="0"/>
    </xf>
    <xf numFmtId="164" fontId="36" fillId="5" borderId="5" xfId="0" applyNumberFormat="1" applyFont="1" applyFill="1" applyBorder="1" applyAlignment="1" applyProtection="1">
      <alignment horizontal="left"/>
      <protection locked="0"/>
    </xf>
    <xf numFmtId="0" fontId="17" fillId="0" borderId="8" xfId="543" applyBorder="1" applyAlignment="1">
      <alignment horizontal="left" vertical="center" wrapText="1"/>
    </xf>
    <xf numFmtId="0" fontId="17" fillId="0" borderId="0" xfId="543" applyAlignment="1">
      <alignment horizontal="left" vertical="center" wrapText="1"/>
    </xf>
    <xf numFmtId="0" fontId="17" fillId="0" borderId="12" xfId="543" applyBorder="1" applyAlignment="1">
      <alignment horizontal="left" vertical="center" wrapText="1"/>
    </xf>
    <xf numFmtId="0" fontId="17" fillId="0" borderId="9" xfId="543" applyBorder="1" applyAlignment="1">
      <alignment horizontal="left" vertical="center" wrapText="1"/>
    </xf>
    <xf numFmtId="0" fontId="17" fillId="0" borderId="6" xfId="543" applyBorder="1" applyAlignment="1">
      <alignment horizontal="left" vertical="center" wrapText="1"/>
    </xf>
    <xf numFmtId="0" fontId="17" fillId="0" borderId="10" xfId="543" applyBorder="1" applyAlignment="1">
      <alignment horizontal="left" vertical="center" wrapText="1"/>
    </xf>
    <xf numFmtId="0" fontId="17" fillId="5" borderId="3" xfId="0" applyFont="1" applyFill="1" applyBorder="1" applyAlignment="1" applyProtection="1">
      <alignment horizontal="left"/>
      <protection locked="0"/>
    </xf>
    <xf numFmtId="0" fontId="17" fillId="5" borderId="4" xfId="0" applyFont="1" applyFill="1" applyBorder="1" applyAlignment="1" applyProtection="1">
      <alignment horizontal="left"/>
      <protection locked="0"/>
    </xf>
    <xf numFmtId="0" fontId="17" fillId="5" borderId="5" xfId="0" applyFont="1" applyFill="1" applyBorder="1" applyAlignment="1" applyProtection="1">
      <alignment horizontal="left"/>
      <protection locked="0"/>
    </xf>
    <xf numFmtId="0" fontId="17" fillId="43" borderId="11" xfId="0" applyFont="1" applyFill="1" applyBorder="1" applyAlignment="1" applyProtection="1">
      <alignment horizontal="center"/>
      <protection locked="0"/>
    </xf>
    <xf numFmtId="0" fontId="37" fillId="0" borderId="1" xfId="543" applyFont="1" applyBorder="1" applyAlignment="1">
      <alignment horizontal="right"/>
    </xf>
    <xf numFmtId="0" fontId="37" fillId="0" borderId="2" xfId="543" applyFont="1" applyBorder="1" applyAlignment="1">
      <alignment horizontal="right"/>
    </xf>
    <xf numFmtId="0" fontId="37" fillId="0" borderId="7" xfId="543" applyFont="1" applyBorder="1" applyAlignment="1">
      <alignment horizontal="right"/>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 fontId="26" fillId="5" borderId="11" xfId="0" applyNumberFormat="1" applyFont="1" applyFill="1" applyBorder="1" applyAlignment="1" applyProtection="1">
      <alignment horizontal="center"/>
      <protection locked="0"/>
    </xf>
    <xf numFmtId="168" fontId="24" fillId="0" borderId="3" xfId="543" applyNumberFormat="1" applyFont="1" applyBorder="1" applyAlignment="1">
      <alignment horizontal="center" vertical="center"/>
    </xf>
    <xf numFmtId="168" fontId="24" fillId="0" borderId="4" xfId="543" applyNumberFormat="1" applyFont="1" applyBorder="1" applyAlignment="1">
      <alignment horizontal="center" vertical="center"/>
    </xf>
    <xf numFmtId="168" fontId="24" fillId="0" borderId="5" xfId="543" applyNumberFormat="1" applyFont="1" applyBorder="1" applyAlignment="1">
      <alignment horizontal="center" vertical="center"/>
    </xf>
    <xf numFmtId="0" fontId="17" fillId="2" borderId="3" xfId="543" applyFill="1" applyBorder="1" applyAlignment="1">
      <alignment horizontal="center"/>
    </xf>
    <xf numFmtId="0" fontId="17" fillId="2" borderId="4" xfId="543" applyFill="1" applyBorder="1" applyAlignment="1">
      <alignment horizontal="center"/>
    </xf>
    <xf numFmtId="0" fontId="17" fillId="2" borderId="5" xfId="543" applyFill="1" applyBorder="1" applyAlignment="1">
      <alignment horizontal="center"/>
    </xf>
    <xf numFmtId="0" fontId="24" fillId="0" borderId="3" xfId="543" applyFont="1" applyBorder="1" applyAlignment="1">
      <alignment horizontal="right"/>
    </xf>
    <xf numFmtId="0" fontId="24" fillId="0" borderId="4" xfId="543" applyFont="1" applyBorder="1" applyAlignment="1">
      <alignment horizontal="right"/>
    </xf>
    <xf numFmtId="0" fontId="24" fillId="0" borderId="5" xfId="543" applyFont="1" applyBorder="1" applyAlignment="1">
      <alignment horizontal="right"/>
    </xf>
    <xf numFmtId="0" fontId="17" fillId="5" borderId="3" xfId="543" applyFill="1" applyBorder="1" applyAlignment="1" applyProtection="1">
      <alignment horizontal="left" vertical="top" wrapText="1"/>
      <protection locked="0"/>
    </xf>
    <xf numFmtId="0" fontId="26" fillId="5" borderId="4" xfId="543" applyFont="1" applyFill="1" applyBorder="1" applyAlignment="1" applyProtection="1">
      <alignment horizontal="left" vertical="top" wrapText="1"/>
      <protection locked="0"/>
    </xf>
    <xf numFmtId="0" fontId="26" fillId="5" borderId="5" xfId="543" applyFont="1" applyFill="1" applyBorder="1" applyAlignment="1" applyProtection="1">
      <alignment horizontal="left" vertical="top" wrapText="1"/>
      <protection locked="0"/>
    </xf>
    <xf numFmtId="0" fontId="24" fillId="0" borderId="11" xfId="0" applyFont="1" applyBorder="1" applyAlignment="1">
      <alignment horizontal="center"/>
    </xf>
    <xf numFmtId="164" fontId="25" fillId="5" borderId="3" xfId="0" applyNumberFormat="1" applyFont="1" applyFill="1" applyBorder="1" applyAlignment="1" applyProtection="1">
      <alignment horizontal="left"/>
      <protection locked="0"/>
    </xf>
    <xf numFmtId="164" fontId="25" fillId="5" borderId="4" xfId="0" applyNumberFormat="1" applyFont="1" applyFill="1" applyBorder="1" applyAlignment="1" applyProtection="1">
      <alignment horizontal="left"/>
      <protection locked="0"/>
    </xf>
    <xf numFmtId="164" fontId="25" fillId="5" borderId="5" xfId="0" applyNumberFormat="1" applyFont="1" applyFill="1" applyBorder="1" applyAlignment="1" applyProtection="1">
      <alignment horizontal="lef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4" fillId="0" borderId="12" xfId="0" applyFont="1" applyBorder="1" applyAlignment="1">
      <alignment horizontal="center" wrapText="1"/>
    </xf>
    <xf numFmtId="0" fontId="24"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 fontId="17" fillId="0" borderId="3" xfId="0" applyNumberFormat="1" applyFont="1" applyBorder="1" applyAlignment="1">
      <alignment horizontal="center"/>
    </xf>
    <xf numFmtId="1" fontId="26" fillId="0" borderId="4" xfId="0" applyNumberFormat="1" applyFont="1" applyBorder="1" applyAlignment="1">
      <alignment horizontal="center"/>
    </xf>
    <xf numFmtId="1" fontId="26" fillId="0" borderId="5" xfId="0" applyNumberFormat="1" applyFont="1" applyBorder="1" applyAlignment="1">
      <alignment horizontal="center"/>
    </xf>
    <xf numFmtId="165" fontId="24" fillId="0" borderId="3" xfId="271" applyNumberFormat="1" applyFont="1" applyBorder="1" applyAlignment="1">
      <alignment horizontal="center"/>
    </xf>
    <xf numFmtId="165" fontId="24" fillId="0" borderId="4" xfId="271" applyNumberFormat="1" applyFont="1" applyBorder="1" applyAlignment="1">
      <alignment horizontal="center"/>
    </xf>
    <xf numFmtId="165" fontId="24" fillId="0" borderId="5" xfId="271" applyNumberFormat="1" applyFont="1" applyBorder="1" applyAlignment="1">
      <alignment horizontal="center"/>
    </xf>
    <xf numFmtId="0" fontId="26" fillId="0" borderId="11" xfId="0" applyFont="1" applyBorder="1" applyAlignment="1">
      <alignment horizontal="center" vertical="top" wrapText="1"/>
    </xf>
    <xf numFmtId="0" fontId="24" fillId="0" borderId="0" xfId="0" applyFont="1" applyAlignment="1">
      <alignment horizontal="center" vertical="center"/>
    </xf>
    <xf numFmtId="0" fontId="17" fillId="0" borderId="0" xfId="543" applyAlignment="1">
      <alignment horizontal="center"/>
    </xf>
    <xf numFmtId="2" fontId="17" fillId="0" borderId="0" xfId="543" applyNumberFormat="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4" fillId="5" borderId="3" xfId="0" applyFont="1" applyFill="1" applyBorder="1" applyAlignment="1" applyProtection="1">
      <alignment horizontal="right"/>
      <protection locked="0"/>
    </xf>
    <xf numFmtId="0" fontId="24" fillId="5" borderId="4" xfId="0" applyFont="1" applyFill="1" applyBorder="1" applyAlignment="1" applyProtection="1">
      <alignment horizontal="right"/>
      <protection locked="0"/>
    </xf>
    <xf numFmtId="0" fontId="24" fillId="5" borderId="5" xfId="0" applyFont="1" applyFill="1" applyBorder="1" applyAlignment="1" applyProtection="1">
      <alignment horizontal="right"/>
      <protection locked="0"/>
    </xf>
    <xf numFmtId="168" fontId="0" fillId="0" borderId="11" xfId="0" applyNumberFormat="1" applyBorder="1" applyAlignment="1">
      <alignment horizontal="center"/>
    </xf>
    <xf numFmtId="9" fontId="17" fillId="5" borderId="3" xfId="0" applyNumberFormat="1" applyFont="1" applyFill="1" applyBorder="1" applyAlignment="1" applyProtection="1">
      <alignment horizontal="right"/>
      <protection locked="0"/>
    </xf>
    <xf numFmtId="168" fontId="0" fillId="5" borderId="11" xfId="0" applyNumberFormat="1" applyFill="1" applyBorder="1" applyAlignment="1" applyProtection="1">
      <alignment horizontal="center"/>
      <protection locked="0"/>
    </xf>
    <xf numFmtId="168" fontId="17" fillId="5" borderId="3" xfId="0" applyNumberFormat="1" applyFont="1" applyFill="1" applyBorder="1" applyAlignment="1" applyProtection="1">
      <alignment horizontal="left"/>
      <protection locked="0"/>
    </xf>
    <xf numFmtId="168" fontId="17" fillId="5" borderId="4" xfId="0" applyNumberFormat="1" applyFont="1" applyFill="1" applyBorder="1" applyAlignment="1" applyProtection="1">
      <alignment horizontal="left"/>
      <protection locked="0"/>
    </xf>
    <xf numFmtId="168" fontId="17" fillId="5" borderId="5" xfId="0" applyNumberFormat="1" applyFont="1" applyFill="1" applyBorder="1" applyAlignment="1" applyProtection="1">
      <alignment horizontal="left"/>
      <protection locked="0"/>
    </xf>
    <xf numFmtId="0" fontId="24" fillId="0" borderId="2" xfId="0" applyFont="1" applyBorder="1" applyAlignment="1">
      <alignment horizontal="right"/>
    </xf>
    <xf numFmtId="0" fontId="24" fillId="0" borderId="7" xfId="0" applyFont="1" applyBorder="1" applyAlignment="1">
      <alignment horizontal="right"/>
    </xf>
    <xf numFmtId="0" fontId="24" fillId="0" borderId="1" xfId="0" applyFont="1" applyBorder="1" applyAlignment="1">
      <alignment horizontal="center"/>
    </xf>
    <xf numFmtId="0" fontId="24" fillId="0" borderId="2" xfId="0" applyFont="1" applyBorder="1" applyAlignment="1">
      <alignment horizontal="center"/>
    </xf>
    <xf numFmtId="0" fontId="24" fillId="0" borderId="7" xfId="0" applyFont="1" applyBorder="1" applyAlignment="1">
      <alignment horizontal="center"/>
    </xf>
    <xf numFmtId="0" fontId="17" fillId="0" borderId="3" xfId="0" applyFont="1" applyBorder="1"/>
    <xf numFmtId="0" fontId="17" fillId="0" borderId="4" xfId="0" applyFont="1" applyBorder="1"/>
    <xf numFmtId="0" fontId="17" fillId="0" borderId="5" xfId="0" applyFont="1" applyBorder="1"/>
    <xf numFmtId="168" fontId="0" fillId="5" borderId="11" xfId="0" applyNumberFormat="1" applyFill="1" applyBorder="1" applyProtection="1">
      <protection locked="0"/>
    </xf>
    <xf numFmtId="0" fontId="0" fillId="0" borderId="3" xfId="0" applyBorder="1" applyAlignment="1">
      <alignment horizontal="left"/>
    </xf>
    <xf numFmtId="0" fontId="0" fillId="0" borderId="4" xfId="0" applyBorder="1" applyAlignment="1">
      <alignment horizontal="left"/>
    </xf>
    <xf numFmtId="168" fontId="0" fillId="0" borderId="11" xfId="0" applyNumberFormat="1" applyBorder="1" applyAlignment="1">
      <alignment horizontal="right"/>
    </xf>
    <xf numFmtId="168" fontId="0" fillId="0" borderId="11" xfId="0" applyNumberFormat="1" applyBorder="1"/>
    <xf numFmtId="0" fontId="26" fillId="5" borderId="6" xfId="271" applyFill="1" applyBorder="1" applyProtection="1">
      <protection locked="0"/>
    </xf>
    <xf numFmtId="0" fontId="36" fillId="5" borderId="3" xfId="543" applyFont="1" applyFill="1" applyBorder="1" applyAlignment="1">
      <alignment horizontal="center"/>
    </xf>
    <xf numFmtId="0" fontId="36" fillId="5" borderId="4" xfId="543" applyFont="1" applyFill="1" applyBorder="1" applyAlignment="1">
      <alignment horizontal="center"/>
    </xf>
    <xf numFmtId="0" fontId="36" fillId="5" borderId="5" xfId="543" applyFont="1" applyFill="1" applyBorder="1" applyAlignment="1">
      <alignment horizontal="center"/>
    </xf>
    <xf numFmtId="49" fontId="17" fillId="5" borderId="3" xfId="543" applyNumberFormat="1" applyFill="1" applyBorder="1" applyAlignment="1">
      <alignment horizontal="center"/>
    </xf>
    <xf numFmtId="49" fontId="17" fillId="5" borderId="5" xfId="543" applyNumberFormat="1" applyFill="1" applyBorder="1" applyAlignment="1">
      <alignment horizontal="center"/>
    </xf>
    <xf numFmtId="0" fontId="17" fillId="0" borderId="1" xfId="0" applyFont="1" applyBorder="1" applyAlignment="1">
      <alignment horizontal="center" vertical="top" wrapText="1"/>
    </xf>
    <xf numFmtId="171" fontId="17" fillId="0" borderId="0" xfId="543" applyNumberFormat="1" applyAlignment="1">
      <alignment horizontal="center"/>
    </xf>
    <xf numFmtId="10" fontId="0" fillId="5" borderId="4" xfId="0" applyNumberFormat="1" applyFill="1" applyBorder="1" applyAlignment="1" applyProtection="1">
      <alignment horizontal="center"/>
      <protection locked="0"/>
    </xf>
    <xf numFmtId="0" fontId="24" fillId="0" borderId="9" xfId="0" applyFont="1" applyBorder="1" applyAlignment="1">
      <alignment horizontal="right"/>
    </xf>
    <xf numFmtId="0" fontId="24" fillId="0" borderId="6" xfId="0" applyFont="1" applyBorder="1" applyAlignment="1">
      <alignment horizontal="right"/>
    </xf>
    <xf numFmtId="0" fontId="24" fillId="0" borderId="10" xfId="0" applyFont="1" applyBorder="1" applyAlignment="1">
      <alignment horizontal="right"/>
    </xf>
    <xf numFmtId="0" fontId="54" fillId="0" borderId="1" xfId="0" applyFont="1" applyBorder="1" applyAlignment="1">
      <alignment horizontal="center" vertical="center" wrapText="1"/>
    </xf>
    <xf numFmtId="0" fontId="54" fillId="0" borderId="2" xfId="0" applyFont="1" applyBorder="1" applyAlignment="1">
      <alignment horizontal="center" vertical="center" wrapText="1"/>
    </xf>
    <xf numFmtId="0" fontId="54" fillId="0" borderId="7" xfId="0" applyFont="1" applyBorder="1" applyAlignment="1">
      <alignment horizontal="center" vertical="center" wrapText="1"/>
    </xf>
    <xf numFmtId="0" fontId="54" fillId="0" borderId="8" xfId="0" applyFont="1" applyBorder="1" applyAlignment="1">
      <alignment horizontal="center" vertical="center" wrapText="1"/>
    </xf>
    <xf numFmtId="0" fontId="54" fillId="0" borderId="0" xfId="0" applyFont="1" applyAlignment="1">
      <alignment horizontal="center" vertical="center" wrapText="1"/>
    </xf>
    <xf numFmtId="0" fontId="54" fillId="0" borderId="12" xfId="0" applyFont="1" applyBorder="1" applyAlignment="1">
      <alignment horizontal="center" vertical="center" wrapText="1"/>
    </xf>
    <xf numFmtId="0" fontId="54" fillId="0" borderId="9" xfId="0" applyFont="1" applyBorder="1" applyAlignment="1">
      <alignment horizontal="center" vertical="center" wrapText="1"/>
    </xf>
    <xf numFmtId="0" fontId="54" fillId="0" borderId="6" xfId="0" applyFont="1" applyBorder="1" applyAlignment="1">
      <alignment horizontal="center" vertical="center" wrapText="1"/>
    </xf>
    <xf numFmtId="0" fontId="54" fillId="0" borderId="10"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14" fontId="0" fillId="5" borderId="6" xfId="0" applyNumberFormat="1" applyFill="1" applyBorder="1" applyAlignment="1" applyProtection="1">
      <alignment horizontal="center"/>
      <protection locked="0"/>
    </xf>
    <xf numFmtId="175" fontId="0" fillId="5" borderId="4" xfId="0" applyNumberFormat="1" applyFill="1" applyBorder="1" applyAlignment="1" applyProtection="1">
      <alignment horizontal="left" vertical="center" wrapText="1"/>
      <protection locked="0"/>
    </xf>
    <xf numFmtId="175" fontId="17" fillId="43" borderId="3" xfId="0" applyNumberFormat="1" applyFont="1" applyFill="1" applyBorder="1" applyAlignment="1" applyProtection="1">
      <alignment horizontal="center" vertical="center"/>
      <protection locked="0"/>
    </xf>
    <xf numFmtId="175" fontId="17" fillId="43" borderId="4" xfId="0" applyNumberFormat="1" applyFont="1" applyFill="1" applyBorder="1" applyAlignment="1" applyProtection="1">
      <alignment horizontal="center" vertical="center"/>
      <protection locked="0"/>
    </xf>
    <xf numFmtId="175" fontId="17" fillId="43" borderId="5" xfId="0" applyNumberFormat="1" applyFont="1" applyFill="1" applyBorder="1" applyAlignment="1" applyProtection="1">
      <alignment horizontal="center" vertical="center"/>
      <protection locked="0"/>
    </xf>
    <xf numFmtId="168" fontId="17" fillId="43" borderId="3" xfId="0" applyNumberFormat="1" applyFont="1" applyFill="1" applyBorder="1" applyAlignment="1" applyProtection="1">
      <alignment horizontal="center" vertical="center"/>
      <protection locked="0"/>
    </xf>
    <xf numFmtId="168" fontId="17" fillId="43" borderId="4" xfId="0" applyNumberFormat="1" applyFont="1" applyFill="1" applyBorder="1" applyAlignment="1" applyProtection="1">
      <alignment horizontal="center" vertical="center"/>
      <protection locked="0"/>
    </xf>
    <xf numFmtId="168" fontId="17" fillId="43" borderId="5" xfId="0" applyNumberFormat="1" applyFont="1" applyFill="1" applyBorder="1" applyAlignment="1" applyProtection="1">
      <alignment horizontal="center" vertical="center"/>
      <protection locked="0"/>
    </xf>
    <xf numFmtId="0" fontId="17" fillId="5" borderId="11" xfId="0" applyFont="1" applyFill="1" applyBorder="1" applyAlignment="1" applyProtection="1">
      <alignment vertical="center" wrapText="1"/>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17" fillId="5" borderId="11" xfId="0" applyFont="1" applyFill="1" applyBorder="1" applyAlignment="1" applyProtection="1">
      <alignment horizontal="left" vertical="center" wrapText="1"/>
      <protection locked="0"/>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8" xfId="0" applyFont="1" applyBorder="1" applyAlignment="1">
      <alignment horizontal="center" vertical="center" wrapText="1"/>
    </xf>
    <xf numFmtId="0" fontId="33" fillId="0" borderId="0" xfId="0" applyFont="1" applyAlignment="1">
      <alignment horizontal="center" vertical="center" wrapText="1"/>
    </xf>
    <xf numFmtId="0" fontId="33" fillId="0" borderId="12" xfId="0" applyFont="1" applyBorder="1" applyAlignment="1">
      <alignment horizontal="center" vertical="center" wrapText="1"/>
    </xf>
    <xf numFmtId="0" fontId="33" fillId="0" borderId="9" xfId="0" applyFont="1" applyBorder="1" applyAlignment="1">
      <alignment horizontal="center" vertical="center" wrapText="1"/>
    </xf>
    <xf numFmtId="0" fontId="33" fillId="0" borderId="6" xfId="0" applyFont="1" applyBorder="1" applyAlignment="1">
      <alignment horizontal="center" vertical="center" wrapText="1"/>
    </xf>
    <xf numFmtId="0" fontId="33" fillId="0" borderId="10" xfId="0" applyFont="1" applyBorder="1" applyAlignment="1">
      <alignment horizontal="center" vertical="center" wrapText="1"/>
    </xf>
    <xf numFmtId="0" fontId="0" fillId="43" borderId="4" xfId="0" applyFill="1" applyBorder="1" applyAlignment="1" applyProtection="1">
      <alignment horizontal="center"/>
      <protection locked="0"/>
    </xf>
    <xf numFmtId="0" fontId="24" fillId="0" borderId="11" xfId="0" applyFont="1" applyBorder="1" applyAlignment="1">
      <alignment horizontal="center" vertical="center"/>
    </xf>
    <xf numFmtId="0" fontId="17" fillId="5" borderId="4" xfId="0" applyFont="1" applyFill="1" applyBorder="1" applyAlignment="1" applyProtection="1">
      <alignment wrapText="1"/>
      <protection locked="0"/>
    </xf>
    <xf numFmtId="0" fontId="26" fillId="5" borderId="9" xfId="0" applyFont="1" applyFill="1" applyBorder="1" applyAlignment="1" applyProtection="1">
      <alignment horizontal="center"/>
      <protection locked="0"/>
    </xf>
    <xf numFmtId="0" fontId="26" fillId="5" borderId="6" xfId="0" applyFont="1" applyFill="1" applyBorder="1" applyAlignment="1" applyProtection="1">
      <alignment horizontal="center"/>
      <protection locked="0"/>
    </xf>
    <xf numFmtId="0" fontId="24" fillId="0" borderId="9" xfId="0" applyFont="1" applyBorder="1" applyAlignment="1">
      <alignment horizontal="center"/>
    </xf>
    <xf numFmtId="0" fontId="24" fillId="0" borderId="6" xfId="0" applyFont="1" applyBorder="1" applyAlignment="1">
      <alignment horizontal="center"/>
    </xf>
    <xf numFmtId="0" fontId="0" fillId="0" borderId="12" xfId="0" applyBorder="1" applyAlignment="1">
      <alignment horizontal="center"/>
    </xf>
    <xf numFmtId="0" fontId="17"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71" fontId="17" fillId="0" borderId="0" xfId="543" applyNumberFormat="1" applyAlignment="1">
      <alignment horizontal="right"/>
    </xf>
    <xf numFmtId="3" fontId="0" fillId="0" borderId="4" xfId="0" applyNumberFormat="1" applyBorder="1" applyAlignment="1">
      <alignment horizontal="right"/>
    </xf>
    <xf numFmtId="3" fontId="0" fillId="0" borderId="5" xfId="0" applyNumberFormat="1" applyBorder="1" applyAlignment="1">
      <alignment horizontal="right"/>
    </xf>
    <xf numFmtId="168" fontId="17" fillId="5" borderId="10" xfId="0" applyNumberFormat="1" applyFont="1" applyFill="1" applyBorder="1" applyAlignment="1" applyProtection="1">
      <alignment horizontal="right"/>
      <protection locked="0"/>
    </xf>
    <xf numFmtId="168" fontId="17" fillId="5" borderId="13" xfId="0" applyNumberFormat="1" applyFont="1" applyFill="1" applyBorder="1" applyAlignment="1" applyProtection="1">
      <alignment horizontal="right"/>
      <protection locked="0"/>
    </xf>
    <xf numFmtId="0" fontId="17" fillId="5" borderId="3" xfId="0" applyFont="1" applyFill="1" applyBorder="1" applyProtection="1">
      <protection locked="0"/>
    </xf>
    <xf numFmtId="0" fontId="26" fillId="0" borderId="4" xfId="0" applyFont="1" applyBorder="1" applyProtection="1">
      <protection locked="0"/>
    </xf>
    <xf numFmtId="0" fontId="26" fillId="0" borderId="5" xfId="0" applyFont="1" applyBorder="1" applyProtection="1">
      <protection locked="0"/>
    </xf>
    <xf numFmtId="0" fontId="26" fillId="0" borderId="3" xfId="0" applyFont="1" applyBorder="1" applyAlignment="1">
      <alignment horizontal="left"/>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14" fontId="0" fillId="5" borderId="3" xfId="0" quotePrefix="1" applyNumberFormat="1" applyFill="1" applyBorder="1" applyAlignment="1" applyProtection="1">
      <alignment horizontal="right"/>
      <protection locked="0"/>
    </xf>
    <xf numFmtId="0" fontId="26" fillId="0" borderId="11" xfId="0" applyFont="1" applyBorder="1" applyAlignment="1">
      <alignment horizontal="center"/>
    </xf>
    <xf numFmtId="168" fontId="156" fillId="0" borderId="0" xfId="0" applyNumberFormat="1" applyFont="1" applyAlignment="1">
      <alignment horizontal="center" vertical="center" wrapText="1"/>
    </xf>
    <xf numFmtId="0" fontId="24" fillId="5" borderId="11" xfId="0" applyFon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0" fontId="24" fillId="0" borderId="7" xfId="0" applyFont="1"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17" fillId="0" borderId="3" xfId="0" applyFont="1" applyBorder="1" applyAlignment="1">
      <alignment horizontal="left"/>
    </xf>
    <xf numFmtId="0" fontId="17" fillId="0" borderId="4" xfId="0" applyFont="1" applyBorder="1" applyAlignment="1">
      <alignment horizontal="left"/>
    </xf>
    <xf numFmtId="0" fontId="17" fillId="0" borderId="5" xfId="0" applyFont="1" applyBorder="1" applyAlignment="1">
      <alignment horizontal="left"/>
    </xf>
    <xf numFmtId="168" fontId="53" fillId="0" borderId="2" xfId="0" applyNumberFormat="1" applyFont="1" applyBorder="1" applyAlignment="1">
      <alignment horizontal="left" vertical="top" wrapText="1"/>
    </xf>
    <xf numFmtId="168" fontId="53"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0" fontId="17"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4" fontId="26" fillId="5" borderId="4" xfId="0" applyNumberFormat="1" applyFont="1" applyFill="1" applyBorder="1" applyAlignment="1" applyProtection="1">
      <alignment horizontal="right"/>
      <protection locked="0"/>
    </xf>
    <xf numFmtId="168" fontId="26" fillId="0" borderId="3" xfId="0" applyNumberFormat="1" applyFont="1" applyBorder="1" applyAlignment="1">
      <alignment horizontal="left" vertical="top"/>
    </xf>
    <xf numFmtId="168" fontId="26" fillId="0" borderId="4" xfId="0" applyNumberFormat="1" applyFont="1" applyBorder="1" applyAlignment="1">
      <alignment horizontal="left" vertical="top"/>
    </xf>
    <xf numFmtId="168" fontId="26" fillId="0" borderId="5" xfId="0" applyNumberFormat="1" applyFont="1" applyBorder="1" applyAlignment="1">
      <alignment horizontal="left" vertical="top"/>
    </xf>
    <xf numFmtId="1" fontId="26" fillId="5" borderId="6" xfId="0" applyNumberFormat="1" applyFont="1" applyFill="1" applyBorder="1" applyAlignment="1" applyProtection="1">
      <alignment horizontal="right"/>
      <protection locked="0"/>
    </xf>
    <xf numFmtId="0" fontId="24" fillId="0" borderId="3" xfId="0" applyFont="1" applyBorder="1" applyAlignment="1">
      <alignment horizontal="center"/>
    </xf>
    <xf numFmtId="0" fontId="24" fillId="0" borderId="4" xfId="0" applyFont="1" applyBorder="1" applyAlignment="1">
      <alignment horizontal="center"/>
    </xf>
    <xf numFmtId="0" fontId="24" fillId="0" borderId="5" xfId="0" applyFont="1" applyBorder="1" applyAlignment="1">
      <alignment horizontal="center"/>
    </xf>
    <xf numFmtId="1" fontId="26" fillId="5" borderId="3" xfId="0" applyNumberFormat="1" applyFont="1" applyFill="1" applyBorder="1" applyAlignment="1" applyProtection="1">
      <alignment horizontal="right" vertical="top"/>
      <protection locked="0"/>
    </xf>
    <xf numFmtId="1" fontId="26" fillId="5" borderId="4" xfId="0" applyNumberFormat="1" applyFont="1" applyFill="1" applyBorder="1" applyAlignment="1" applyProtection="1">
      <alignment horizontal="right" vertical="top"/>
      <protection locked="0"/>
    </xf>
    <xf numFmtId="1" fontId="26" fillId="5" borderId="5" xfId="0" applyNumberFormat="1" applyFont="1" applyFill="1" applyBorder="1" applyAlignment="1" applyProtection="1">
      <alignment horizontal="right" vertical="top"/>
      <protection locked="0"/>
    </xf>
    <xf numFmtId="0" fontId="17" fillId="0" borderId="3" xfId="271" applyFont="1" applyBorder="1" applyAlignment="1">
      <alignment horizontal="left"/>
    </xf>
    <xf numFmtId="0" fontId="17" fillId="0" borderId="4" xfId="271" applyFont="1" applyBorder="1" applyAlignment="1">
      <alignment horizontal="left"/>
    </xf>
    <xf numFmtId="0" fontId="17" fillId="0" borderId="5" xfId="271" applyFont="1" applyBorder="1" applyAlignment="1">
      <alignment horizontal="left"/>
    </xf>
    <xf numFmtId="3" fontId="26" fillId="5" borderId="11" xfId="0" applyNumberFormat="1" applyFont="1" applyFill="1" applyBorder="1" applyAlignment="1" applyProtection="1">
      <alignment horizontal="center"/>
      <protection locked="0"/>
    </xf>
    <xf numFmtId="168" fontId="26" fillId="5" borderId="3" xfId="0" applyNumberFormat="1" applyFont="1" applyFill="1" applyBorder="1" applyAlignment="1" applyProtection="1">
      <alignment horizontal="left" vertical="top"/>
      <protection locked="0"/>
    </xf>
    <xf numFmtId="168" fontId="26" fillId="5" borderId="4" xfId="0" applyNumberFormat="1" applyFont="1" applyFill="1" applyBorder="1" applyAlignment="1" applyProtection="1">
      <alignment horizontal="left" vertical="top"/>
      <protection locked="0"/>
    </xf>
    <xf numFmtId="168" fontId="26" fillId="5" borderId="5" xfId="0" applyNumberFormat="1" applyFont="1" applyFill="1" applyBorder="1" applyAlignment="1" applyProtection="1">
      <alignment horizontal="left" vertical="top"/>
      <protection locked="0"/>
    </xf>
    <xf numFmtId="2" fontId="0" fillId="5" borderId="6" xfId="0" applyNumberFormat="1" applyFill="1" applyBorder="1" applyAlignment="1" applyProtection="1">
      <alignment horizontal="center"/>
      <protection locked="0"/>
    </xf>
    <xf numFmtId="10" fontId="26" fillId="5" borderId="4" xfId="0" applyNumberFormat="1" applyFont="1" applyFill="1" applyBorder="1" applyAlignment="1" applyProtection="1">
      <alignment horizontal="right"/>
      <protection locked="0"/>
    </xf>
    <xf numFmtId="0" fontId="25"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8" fontId="17" fillId="0" borderId="3" xfId="0" applyNumberFormat="1" applyFont="1" applyBorder="1" applyAlignment="1">
      <alignment horizontal="left" vertical="top"/>
    </xf>
    <xf numFmtId="166" fontId="17" fillId="5" borderId="4" xfId="0" applyNumberFormat="1" applyFont="1" applyFill="1" applyBorder="1" applyAlignment="1" applyProtection="1">
      <alignment horizontal="left"/>
      <protection locked="0"/>
    </xf>
    <xf numFmtId="166" fontId="26" fillId="5" borderId="6" xfId="271" applyNumberFormat="1" applyFill="1" applyBorder="1" applyAlignment="1" applyProtection="1">
      <alignment horizontal="left"/>
      <protection locked="0"/>
    </xf>
    <xf numFmtId="166" fontId="26"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26" fillId="0" borderId="6" xfId="0" applyFont="1" applyBorder="1" applyAlignment="1">
      <alignment horizontal="left"/>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0" fontId="0" fillId="43" borderId="6" xfId="0" applyFill="1" applyBorder="1" applyAlignment="1" applyProtection="1">
      <alignment horizontal="left" vertical="top" wrapText="1"/>
      <protection locked="0"/>
    </xf>
    <xf numFmtId="173" fontId="0" fillId="5" borderId="6" xfId="0" applyNumberFormat="1" applyFill="1" applyBorder="1" applyAlignment="1" applyProtection="1">
      <alignment horizontal="center"/>
      <protection locked="0"/>
    </xf>
    <xf numFmtId="0" fontId="17" fillId="5" borderId="6" xfId="244" applyFont="1" applyFill="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0" fontId="17" fillId="0" borderId="0" xfId="271" applyFont="1" applyAlignment="1">
      <alignment horizontal="left" vertical="top" wrapText="1"/>
    </xf>
    <xf numFmtId="0" fontId="17"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6"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17" fillId="0" borderId="0" xfId="0" applyFont="1" applyAlignment="1" applyProtection="1">
      <alignment horizontal="left"/>
      <protection locked="0"/>
    </xf>
    <xf numFmtId="9" fontId="25" fillId="0" borderId="3" xfId="4494" applyFont="1" applyBorder="1" applyAlignment="1" applyProtection="1">
      <alignment horizontal="center"/>
    </xf>
    <xf numFmtId="9" fontId="25" fillId="0" borderId="5" xfId="4494" applyFont="1" applyBorder="1" applyAlignment="1" applyProtection="1">
      <alignment horizontal="center"/>
    </xf>
    <xf numFmtId="0" fontId="17" fillId="43" borderId="6" xfId="0" applyFont="1" applyFill="1" applyBorder="1" applyAlignment="1" applyProtection="1">
      <alignment vertical="center"/>
      <protection locked="0"/>
    </xf>
    <xf numFmtId="0" fontId="26" fillId="43" borderId="6" xfId="0" applyFont="1" applyFill="1" applyBorder="1" applyAlignment="1" applyProtection="1">
      <alignment horizontal="left"/>
      <protection locked="0"/>
    </xf>
    <xf numFmtId="0" fontId="17" fillId="0" borderId="6" xfId="0" applyFont="1" applyBorder="1" applyAlignment="1">
      <alignment horizontal="left"/>
    </xf>
    <xf numFmtId="0" fontId="25" fillId="43" borderId="6" xfId="0" applyFont="1" applyFill="1" applyBorder="1" applyAlignment="1" applyProtection="1">
      <alignment horizontal="left"/>
      <protection locked="0"/>
    </xf>
    <xf numFmtId="0" fontId="153" fillId="0" borderId="0" xfId="0" applyFont="1" applyAlignment="1" applyProtection="1">
      <alignment horizontal="left" vertical="top" wrapText="1"/>
      <protection locked="0"/>
    </xf>
    <xf numFmtId="0" fontId="17" fillId="0" borderId="6" xfId="0" applyFont="1" applyBorder="1" applyAlignment="1" applyProtection="1">
      <alignment horizontal="left"/>
      <protection locked="0"/>
    </xf>
    <xf numFmtId="0" fontId="18" fillId="0" borderId="0" xfId="244" applyFill="1" applyAlignment="1" applyProtection="1">
      <alignment horizontal="left"/>
      <protection locked="0"/>
    </xf>
    <xf numFmtId="168" fontId="17" fillId="0" borderId="6" xfId="0" applyNumberFormat="1" applyFont="1" applyBorder="1" applyAlignment="1">
      <alignment horizontal="center"/>
    </xf>
    <xf numFmtId="0" fontId="0" fillId="5" borderId="0" xfId="0" applyFill="1" applyAlignment="1" applyProtection="1">
      <alignment horizontal="left" vertical="top" wrapText="1"/>
      <protection locked="0"/>
    </xf>
    <xf numFmtId="49" fontId="0" fillId="5" borderId="6" xfId="0" applyNumberFormat="1" applyFill="1" applyBorder="1" applyAlignment="1" applyProtection="1">
      <alignment horizontal="center"/>
      <protection locked="0"/>
    </xf>
    <xf numFmtId="0" fontId="0" fillId="5" borderId="6" xfId="0" applyFill="1" applyBorder="1" applyProtection="1">
      <protection locked="0"/>
    </xf>
    <xf numFmtId="0" fontId="26" fillId="0" borderId="4" xfId="0" applyFont="1" applyBorder="1" applyAlignment="1" applyProtection="1">
      <alignment horizontal="left"/>
      <protection locked="0"/>
    </xf>
    <xf numFmtId="0" fontId="17" fillId="5" borderId="0" xfId="244" applyFont="1" applyFill="1" applyBorder="1" applyAlignment="1" applyProtection="1">
      <alignment horizontal="left"/>
      <protection locked="0"/>
    </xf>
    <xf numFmtId="168" fontId="26" fillId="0" borderId="11" xfId="0" applyNumberFormat="1" applyFont="1" applyBorder="1" applyAlignment="1">
      <alignment horizontal="center"/>
    </xf>
    <xf numFmtId="0" fontId="26" fillId="5" borderId="0" xfId="0" applyFont="1" applyFill="1" applyAlignment="1" applyProtection="1">
      <alignment horizontal="left" vertical="top" wrapText="1"/>
      <protection locked="0"/>
    </xf>
    <xf numFmtId="0" fontId="26"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68" fontId="26" fillId="5" borderId="6" xfId="0" applyNumberFormat="1" applyFont="1" applyFill="1" applyBorder="1" applyAlignment="1" applyProtection="1">
      <alignment horizontal="right"/>
      <protection locked="0"/>
    </xf>
    <xf numFmtId="178" fontId="26"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0" fontId="26" fillId="5" borderId="11" xfId="0" applyFont="1" applyFill="1" applyBorder="1" applyAlignment="1" applyProtection="1">
      <alignment horizontal="center"/>
      <protection locked="0"/>
    </xf>
    <xf numFmtId="0" fontId="0" fillId="0" borderId="5" xfId="0" applyBorder="1" applyAlignment="1">
      <alignment horizontal="left"/>
    </xf>
    <xf numFmtId="3" fontId="0" fillId="0" borderId="6" xfId="0" applyNumberFormat="1" applyBorder="1" applyAlignment="1">
      <alignment horizontal="right"/>
    </xf>
    <xf numFmtId="14" fontId="0" fillId="5" borderId="4" xfId="0" applyNumberFormat="1" applyFill="1" applyBorder="1" applyAlignment="1" applyProtection="1">
      <alignment horizontal="center"/>
      <protection locked="0"/>
    </xf>
    <xf numFmtId="172" fontId="24" fillId="0" borderId="11" xfId="0" applyNumberFormat="1" applyFont="1" applyBorder="1" applyAlignment="1">
      <alignment horizontal="center" vertical="center" wrapText="1"/>
    </xf>
    <xf numFmtId="0" fontId="0" fillId="0" borderId="6" xfId="0" applyBorder="1" applyAlignment="1" applyProtection="1">
      <alignment horizontal="center"/>
      <protection locked="0"/>
    </xf>
    <xf numFmtId="2" fontId="0" fillId="0" borderId="6" xfId="0" applyNumberFormat="1" applyBorder="1" applyAlignment="1">
      <alignment horizontal="center"/>
    </xf>
    <xf numFmtId="3" fontId="26" fillId="0" borderId="11" xfId="0" applyNumberFormat="1" applyFont="1" applyBorder="1" applyAlignment="1">
      <alignment horizontal="center"/>
    </xf>
    <xf numFmtId="1" fontId="26" fillId="5" borderId="11" xfId="0" quotePrefix="1" applyNumberFormat="1" applyFont="1" applyFill="1" applyBorder="1" applyAlignment="1" applyProtection="1">
      <alignment horizontal="center"/>
      <protection locked="0"/>
    </xf>
    <xf numFmtId="10" fontId="26" fillId="0" borderId="11" xfId="0" applyNumberFormat="1" applyFont="1" applyBorder="1" applyAlignment="1">
      <alignment horizontal="center"/>
    </xf>
    <xf numFmtId="0" fontId="0" fillId="43" borderId="10" xfId="0" applyFill="1" applyBorder="1" applyAlignment="1" applyProtection="1">
      <alignment horizontal="left"/>
      <protection locked="0"/>
    </xf>
    <xf numFmtId="165" fontId="26" fillId="5" borderId="3" xfId="0" applyNumberFormat="1" applyFont="1" applyFill="1" applyBorder="1" applyAlignment="1" applyProtection="1">
      <alignment horizontal="center"/>
      <protection locked="0"/>
    </xf>
    <xf numFmtId="165" fontId="26" fillId="5" borderId="4" xfId="0" applyNumberFormat="1" applyFont="1" applyFill="1" applyBorder="1" applyAlignment="1" applyProtection="1">
      <alignment horizontal="center"/>
      <protection locked="0"/>
    </xf>
    <xf numFmtId="165" fontId="26"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17" fillId="43" borderId="4" xfId="0" applyFont="1" applyFill="1" applyBorder="1" applyAlignment="1" applyProtection="1">
      <alignment horizontal="left" wrapText="1"/>
      <protection locked="0"/>
    </xf>
    <xf numFmtId="0" fontId="26" fillId="5" borderId="4" xfId="0" applyFont="1" applyFill="1" applyBorder="1" applyAlignment="1" applyProtection="1">
      <alignment horizontal="right"/>
      <protection locked="0"/>
    </xf>
    <xf numFmtId="168" fontId="26" fillId="5" borderId="4" xfId="0" applyNumberFormat="1" applyFont="1" applyFill="1" applyBorder="1" applyAlignment="1" applyProtection="1">
      <alignment horizontal="right"/>
      <protection locked="0"/>
    </xf>
    <xf numFmtId="172" fontId="0" fillId="5" borderId="6" xfId="0" applyNumberFormat="1" applyFill="1" applyBorder="1" applyAlignment="1" applyProtection="1">
      <alignment horizontal="center"/>
      <protection locked="0"/>
    </xf>
    <xf numFmtId="0" fontId="36"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0" fontId="24" fillId="0" borderId="10" xfId="0"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7" fillId="0" borderId="4" xfId="0" applyNumberFormat="1" applyFont="1" applyBorder="1" applyAlignment="1">
      <alignment horizontal="left" vertical="top"/>
    </xf>
    <xf numFmtId="168" fontId="17" fillId="0" borderId="5" xfId="0" applyNumberFormat="1" applyFont="1" applyBorder="1" applyAlignment="1">
      <alignment horizontal="left" vertical="top"/>
    </xf>
    <xf numFmtId="168" fontId="184" fillId="0" borderId="105" xfId="543" applyNumberFormat="1" applyFont="1" applyBorder="1" applyAlignment="1">
      <alignment horizontal="right" vertical="center" wrapText="1"/>
    </xf>
    <xf numFmtId="175" fontId="184" fillId="0" borderId="107" xfId="543" applyNumberFormat="1" applyFont="1" applyBorder="1" applyAlignment="1">
      <alignment horizontal="center" vertical="center" wrapText="1"/>
    </xf>
    <xf numFmtId="175" fontId="184" fillId="0" borderId="108" xfId="543" applyNumberFormat="1" applyFont="1" applyBorder="1" applyAlignment="1">
      <alignment horizontal="center" vertical="center" wrapText="1"/>
    </xf>
    <xf numFmtId="175" fontId="184" fillId="0" borderId="109" xfId="543" applyNumberFormat="1" applyFont="1" applyBorder="1" applyAlignment="1">
      <alignment horizontal="center" vertical="center" wrapText="1"/>
    </xf>
    <xf numFmtId="0" fontId="183"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9" fontId="17" fillId="0" borderId="0" xfId="543" applyNumberFormat="1" applyAlignment="1">
      <alignment horizontal="center" vertical="center"/>
    </xf>
    <xf numFmtId="0" fontId="58" fillId="2" borderId="3" xfId="0" applyFont="1" applyFill="1" applyBorder="1" applyAlignment="1">
      <alignment horizontal="center" vertical="top"/>
    </xf>
    <xf numFmtId="0" fontId="58" fillId="2" borderId="4" xfId="0" applyFont="1" applyFill="1" applyBorder="1" applyAlignment="1">
      <alignment horizontal="center" vertical="top"/>
    </xf>
    <xf numFmtId="0" fontId="58" fillId="2" borderId="5" xfId="0" applyFont="1" applyFill="1" applyBorder="1" applyAlignment="1">
      <alignment horizontal="center" vertical="top"/>
    </xf>
    <xf numFmtId="0" fontId="26" fillId="0" borderId="6" xfId="0" applyFont="1" applyBorder="1" applyAlignment="1">
      <alignment vertical="top" wrapText="1"/>
    </xf>
    <xf numFmtId="177" fontId="26" fillId="5" borderId="6" xfId="0" applyNumberFormat="1" applyFont="1" applyFill="1" applyBorder="1" applyAlignment="1" applyProtection="1">
      <alignment horizontal="left" vertical="top" wrapText="1"/>
      <protection locked="0"/>
    </xf>
    <xf numFmtId="0" fontId="26" fillId="0" borderId="2" xfId="0" applyFont="1" applyBorder="1" applyAlignment="1">
      <alignment vertical="top" wrapText="1"/>
    </xf>
    <xf numFmtId="0" fontId="53" fillId="0" borderId="0" xfId="0" applyFont="1" applyAlignment="1">
      <alignment vertical="top" wrapText="1"/>
    </xf>
    <xf numFmtId="0" fontId="26" fillId="0" borderId="2" xfId="0" applyFont="1" applyBorder="1" applyAlignment="1">
      <alignment horizontal="left" vertical="top" wrapText="1"/>
    </xf>
    <xf numFmtId="0" fontId="54" fillId="0" borderId="0" xfId="0" applyFont="1" applyAlignment="1">
      <alignment vertical="top" wrapText="1"/>
    </xf>
    <xf numFmtId="0" fontId="26" fillId="0" borderId="0" xfId="0" applyFont="1" applyAlignment="1">
      <alignment vertical="top" wrapText="1"/>
    </xf>
    <xf numFmtId="0" fontId="26" fillId="0" borderId="6" xfId="0" applyFont="1" applyBorder="1" applyAlignment="1">
      <alignment horizontal="right" vertical="top" wrapText="1"/>
    </xf>
    <xf numFmtId="0" fontId="54" fillId="0" borderId="0" xfId="569" applyFont="1" applyAlignment="1">
      <alignment vertical="top" wrapText="1"/>
    </xf>
    <xf numFmtId="0" fontId="17" fillId="0" borderId="0" xfId="569" applyAlignment="1">
      <alignment horizontal="right" vertical="top" wrapText="1"/>
    </xf>
    <xf numFmtId="0" fontId="23" fillId="3" borderId="3" xfId="0" applyFont="1" applyFill="1" applyBorder="1" applyAlignment="1">
      <alignment horizontal="left" vertical="top"/>
    </xf>
    <xf numFmtId="0" fontId="23" fillId="3" borderId="4" xfId="0" applyFont="1" applyFill="1" applyBorder="1" applyAlignment="1">
      <alignment horizontal="left" vertical="top"/>
    </xf>
    <xf numFmtId="0" fontId="23" fillId="3" borderId="5" xfId="0" applyFont="1" applyFill="1" applyBorder="1" applyAlignment="1">
      <alignment horizontal="left" vertical="top"/>
    </xf>
    <xf numFmtId="0" fontId="102" fillId="44" borderId="0" xfId="8733" applyFont="1" applyFill="1" applyAlignment="1">
      <alignment horizontal="left"/>
    </xf>
    <xf numFmtId="0" fontId="2" fillId="48" borderId="80" xfId="8733" applyFill="1" applyBorder="1" applyAlignment="1" applyProtection="1">
      <alignment horizontal="left"/>
      <protection locked="0"/>
    </xf>
    <xf numFmtId="0" fontId="2" fillId="48" borderId="79" xfId="8733" applyFill="1" applyBorder="1" applyAlignment="1" applyProtection="1">
      <alignment horizontal="left"/>
      <protection locked="0"/>
    </xf>
    <xf numFmtId="0" fontId="2" fillId="48" borderId="78" xfId="8733" applyFill="1" applyBorder="1" applyAlignment="1" applyProtection="1">
      <alignment horizontal="left"/>
      <protection locked="0"/>
    </xf>
    <xf numFmtId="0" fontId="165" fillId="44" borderId="0" xfId="8733" applyFont="1" applyFill="1" applyAlignment="1">
      <alignment horizontal="left" vertical="top"/>
    </xf>
    <xf numFmtId="0" fontId="102" fillId="44" borderId="0" xfId="8730" applyFont="1" applyFill="1" applyBorder="1" applyAlignment="1">
      <alignment horizontal="left" vertical="top"/>
    </xf>
    <xf numFmtId="14" fontId="2" fillId="48" borderId="80" xfId="8733" applyNumberFormat="1" applyFill="1" applyBorder="1" applyAlignment="1" applyProtection="1">
      <alignment horizontal="center"/>
      <protection locked="0"/>
    </xf>
    <xf numFmtId="14" fontId="2" fillId="48" borderId="79" xfId="8733" applyNumberFormat="1" applyFill="1" applyBorder="1" applyAlignment="1" applyProtection="1">
      <alignment horizontal="center"/>
      <protection locked="0"/>
    </xf>
    <xf numFmtId="14" fontId="2" fillId="48" borderId="78" xfId="8733" applyNumberFormat="1" applyFill="1" applyBorder="1" applyAlignment="1" applyProtection="1">
      <alignment horizontal="center"/>
      <protection locked="0"/>
    </xf>
    <xf numFmtId="0" fontId="166" fillId="47" borderId="0" xfId="8733" applyFont="1" applyFill="1" applyAlignment="1">
      <alignment horizontal="left" vertical="top" wrapText="1"/>
    </xf>
    <xf numFmtId="0" fontId="102" fillId="47" borderId="42" xfId="8733" applyFont="1" applyFill="1" applyBorder="1" applyAlignment="1">
      <alignment horizontal="center"/>
    </xf>
    <xf numFmtId="0" fontId="2" fillId="48" borderId="80" xfId="8733" applyFill="1" applyBorder="1" applyAlignment="1" applyProtection="1">
      <alignment horizontal="center"/>
      <protection locked="0"/>
    </xf>
    <xf numFmtId="0" fontId="2" fillId="48" borderId="79" xfId="8733" applyFill="1" applyBorder="1" applyAlignment="1" applyProtection="1">
      <alignment horizontal="center"/>
      <protection locked="0"/>
    </xf>
    <xf numFmtId="0" fontId="2" fillId="48" borderId="78" xfId="8733" applyFill="1" applyBorder="1" applyAlignment="1" applyProtection="1">
      <alignment horizontal="center"/>
      <protection locked="0"/>
    </xf>
    <xf numFmtId="0" fontId="167" fillId="47" borderId="65" xfId="8733" applyFont="1" applyFill="1" applyBorder="1" applyAlignment="1">
      <alignment horizontal="center"/>
    </xf>
    <xf numFmtId="0" fontId="167" fillId="47" borderId="29" xfId="8733" applyFont="1" applyFill="1" applyBorder="1" applyAlignment="1">
      <alignment horizontal="center"/>
    </xf>
    <xf numFmtId="0" fontId="167" fillId="47" borderId="31" xfId="8733" applyFont="1" applyFill="1" applyBorder="1" applyAlignment="1">
      <alignment horizontal="center"/>
    </xf>
    <xf numFmtId="0" fontId="2" fillId="47" borderId="66" xfId="8733" applyFill="1" applyBorder="1" applyAlignment="1">
      <alignment horizontal="center"/>
    </xf>
    <xf numFmtId="0" fontId="2" fillId="47" borderId="0" xfId="8733" applyFill="1" applyAlignment="1">
      <alignment horizontal="center"/>
    </xf>
    <xf numFmtId="0" fontId="2" fillId="47" borderId="41" xfId="8733" applyFill="1" applyBorder="1" applyAlignment="1">
      <alignment horizontal="center"/>
    </xf>
    <xf numFmtId="0" fontId="166" fillId="47" borderId="66" xfId="8733" applyFont="1" applyFill="1" applyBorder="1" applyAlignment="1">
      <alignment horizontal="center"/>
    </xf>
    <xf numFmtId="0" fontId="166" fillId="47" borderId="0" xfId="8733" applyFont="1" applyFill="1" applyAlignment="1">
      <alignment horizontal="center"/>
    </xf>
    <xf numFmtId="0" fontId="166" fillId="47" borderId="41" xfId="8733" applyFont="1" applyFill="1" applyBorder="1" applyAlignment="1">
      <alignment horizontal="center"/>
    </xf>
    <xf numFmtId="0" fontId="102" fillId="47" borderId="66" xfId="8733" applyFont="1" applyFill="1" applyBorder="1" applyAlignment="1">
      <alignment horizontal="center"/>
    </xf>
    <xf numFmtId="0" fontId="102" fillId="47" borderId="0" xfId="8733" applyFont="1" applyFill="1" applyAlignment="1">
      <alignment horizontal="center"/>
    </xf>
    <xf numFmtId="0" fontId="102" fillId="47" borderId="41" xfId="8733" applyFont="1" applyFill="1" applyBorder="1" applyAlignment="1">
      <alignment horizontal="center"/>
    </xf>
    <xf numFmtId="0" fontId="102" fillId="47" borderId="0" xfId="8733" applyFont="1" applyFill="1" applyAlignment="1">
      <alignment horizontal="left"/>
    </xf>
    <xf numFmtId="0" fontId="168" fillId="50" borderId="3" xfId="698" applyNumberFormat="1" applyFont="1" applyFill="1" applyBorder="1" applyAlignment="1" applyProtection="1">
      <alignment horizontal="center"/>
      <protection locked="0"/>
    </xf>
    <xf numFmtId="0" fontId="168" fillId="50" borderId="4" xfId="698" applyNumberFormat="1" applyFont="1" applyFill="1" applyBorder="1" applyAlignment="1" applyProtection="1">
      <alignment horizontal="center"/>
      <protection locked="0"/>
    </xf>
    <xf numFmtId="0" fontId="168" fillId="50" borderId="81" xfId="698" applyNumberFormat="1" applyFont="1" applyFill="1" applyBorder="1" applyAlignment="1" applyProtection="1">
      <alignment horizontal="center"/>
      <protection locked="0"/>
    </xf>
    <xf numFmtId="43" fontId="166" fillId="49" borderId="72" xfId="698" applyFont="1" applyFill="1" applyBorder="1" applyAlignment="1" applyProtection="1">
      <alignment horizontal="right"/>
      <protection hidden="1"/>
    </xf>
    <xf numFmtId="43" fontId="166" fillId="49" borderId="11" xfId="698" applyFont="1" applyFill="1" applyBorder="1" applyAlignment="1" applyProtection="1">
      <alignment horizontal="right"/>
      <protection hidden="1"/>
    </xf>
    <xf numFmtId="44" fontId="166" fillId="0" borderId="11" xfId="700" applyFont="1" applyBorder="1" applyAlignment="1" applyProtection="1">
      <alignment horizontal="center"/>
      <protection hidden="1"/>
    </xf>
    <xf numFmtId="168" fontId="166" fillId="0" borderId="11" xfId="700" applyNumberFormat="1" applyFont="1" applyBorder="1" applyAlignment="1" applyProtection="1">
      <alignment horizontal="center"/>
      <protection hidden="1"/>
    </xf>
    <xf numFmtId="9" fontId="166" fillId="0" borderId="11" xfId="4494" applyFont="1" applyBorder="1" applyAlignment="1" applyProtection="1">
      <alignment horizontal="center"/>
      <protection hidden="1"/>
    </xf>
    <xf numFmtId="43" fontId="166" fillId="49" borderId="3" xfId="698" applyFont="1" applyFill="1" applyBorder="1" applyAlignment="1" applyProtection="1">
      <alignment horizontal="center"/>
      <protection hidden="1"/>
    </xf>
    <xf numFmtId="43" fontId="166" fillId="49" borderId="4" xfId="698" applyFont="1" applyFill="1" applyBorder="1" applyAlignment="1" applyProtection="1">
      <alignment horizontal="center"/>
      <protection hidden="1"/>
    </xf>
    <xf numFmtId="43" fontId="166" fillId="49" borderId="81" xfId="698" applyFont="1" applyFill="1" applyBorder="1" applyAlignment="1" applyProtection="1">
      <alignment horizontal="center"/>
      <protection hidden="1"/>
    </xf>
    <xf numFmtId="0" fontId="169" fillId="49" borderId="72" xfId="698" applyNumberFormat="1" applyFont="1" applyFill="1" applyBorder="1" applyAlignment="1" applyProtection="1">
      <alignment horizontal="center"/>
      <protection hidden="1"/>
    </xf>
    <xf numFmtId="0" fontId="169" fillId="49" borderId="11" xfId="698" applyNumberFormat="1" applyFont="1" applyFill="1" applyBorder="1" applyAlignment="1" applyProtection="1">
      <alignment horizontal="center"/>
      <protection hidden="1"/>
    </xf>
    <xf numFmtId="0" fontId="169" fillId="48" borderId="11" xfId="0" applyFont="1" applyFill="1" applyBorder="1" applyAlignment="1" applyProtection="1">
      <alignment horizontal="center"/>
      <protection locked="0"/>
    </xf>
    <xf numFmtId="14" fontId="168" fillId="48" borderId="11" xfId="700" applyNumberFormat="1" applyFont="1" applyFill="1" applyBorder="1" applyAlignment="1" applyProtection="1">
      <alignment horizontal="center"/>
      <protection locked="0"/>
    </xf>
    <xf numFmtId="168" fontId="169" fillId="48" borderId="11" xfId="700" applyNumberFormat="1" applyFont="1" applyFill="1" applyBorder="1" applyAlignment="1" applyProtection="1">
      <alignment horizontal="center"/>
      <protection locked="0"/>
    </xf>
    <xf numFmtId="9" fontId="169" fillId="48" borderId="11" xfId="1022" applyFont="1" applyFill="1" applyBorder="1" applyAlignment="1" applyProtection="1">
      <alignment horizontal="center"/>
      <protection locked="0"/>
    </xf>
    <xf numFmtId="44" fontId="168" fillId="48" borderId="11" xfId="700" applyFont="1" applyFill="1" applyBorder="1" applyAlignment="1" applyProtection="1">
      <alignment horizontal="center"/>
      <protection locked="0"/>
    </xf>
    <xf numFmtId="0" fontId="171" fillId="45" borderId="11" xfId="8733" applyFont="1" applyFill="1" applyBorder="1" applyAlignment="1">
      <alignment horizontal="left" wrapText="1"/>
    </xf>
    <xf numFmtId="43" fontId="166" fillId="45" borderId="80" xfId="698" applyFont="1" applyFill="1" applyBorder="1" applyAlignment="1" applyProtection="1">
      <alignment horizontal="center"/>
      <protection hidden="1"/>
    </xf>
    <xf numFmtId="43" fontId="166" fillId="45" borderId="79" xfId="698" applyFont="1" applyFill="1" applyBorder="1" applyAlignment="1" applyProtection="1">
      <alignment horizontal="center"/>
      <protection hidden="1"/>
    </xf>
    <xf numFmtId="43" fontId="166" fillId="45" borderId="78" xfId="698" applyFont="1" applyFill="1" applyBorder="1" applyAlignment="1" applyProtection="1">
      <alignment horizontal="center"/>
      <protection hidden="1"/>
    </xf>
    <xf numFmtId="43" fontId="170" fillId="49" borderId="66" xfId="698" applyFont="1" applyFill="1" applyBorder="1" applyAlignment="1" applyProtection="1">
      <alignment horizontal="center" wrapText="1"/>
      <protection hidden="1"/>
    </xf>
    <xf numFmtId="43" fontId="170" fillId="49" borderId="0" xfId="698" applyFont="1" applyFill="1" applyBorder="1" applyAlignment="1" applyProtection="1">
      <alignment horizontal="center" wrapText="1"/>
      <protection hidden="1"/>
    </xf>
    <xf numFmtId="43" fontId="170" fillId="49" borderId="12" xfId="698" applyFont="1" applyFill="1" applyBorder="1" applyAlignment="1" applyProtection="1">
      <alignment horizontal="center" wrapText="1"/>
      <protection hidden="1"/>
    </xf>
    <xf numFmtId="43" fontId="170" fillId="49" borderId="83" xfId="698" applyFont="1" applyFill="1" applyBorder="1" applyAlignment="1" applyProtection="1">
      <alignment horizontal="center" wrapText="1"/>
      <protection hidden="1"/>
    </xf>
    <xf numFmtId="43" fontId="170" fillId="49" borderId="6" xfId="698" applyFont="1" applyFill="1" applyBorder="1" applyAlignment="1" applyProtection="1">
      <alignment horizontal="center" wrapText="1"/>
      <protection hidden="1"/>
    </xf>
    <xf numFmtId="43" fontId="170" fillId="49" borderId="10" xfId="698" applyFont="1" applyFill="1" applyBorder="1" applyAlignment="1" applyProtection="1">
      <alignment horizontal="center" wrapText="1"/>
      <protection hidden="1"/>
    </xf>
    <xf numFmtId="43" fontId="170" fillId="49" borderId="8" xfId="698" applyFont="1" applyFill="1" applyBorder="1" applyAlignment="1" applyProtection="1">
      <alignment horizontal="center" wrapText="1"/>
      <protection hidden="1"/>
    </xf>
    <xf numFmtId="43" fontId="170" fillId="49" borderId="9" xfId="698" applyFont="1" applyFill="1" applyBorder="1" applyAlignment="1" applyProtection="1">
      <alignment horizontal="center" wrapText="1"/>
      <protection hidden="1"/>
    </xf>
    <xf numFmtId="14" fontId="170" fillId="0" borderId="8" xfId="700" applyNumberFormat="1" applyFont="1" applyFill="1" applyBorder="1" applyAlignment="1" applyProtection="1">
      <alignment horizontal="center" wrapText="1"/>
      <protection hidden="1"/>
    </xf>
    <xf numFmtId="14" fontId="170" fillId="0" borderId="0" xfId="700" applyNumberFormat="1" applyFont="1" applyFill="1" applyBorder="1" applyAlignment="1" applyProtection="1">
      <alignment horizontal="center" wrapText="1"/>
      <protection hidden="1"/>
    </xf>
    <xf numFmtId="14" fontId="170" fillId="0" borderId="12" xfId="700" applyNumberFormat="1" applyFont="1" applyFill="1" applyBorder="1" applyAlignment="1" applyProtection="1">
      <alignment horizontal="center" wrapText="1"/>
      <protection hidden="1"/>
    </xf>
    <xf numFmtId="14" fontId="170" fillId="0" borderId="9" xfId="700" applyNumberFormat="1" applyFont="1" applyFill="1" applyBorder="1" applyAlignment="1" applyProtection="1">
      <alignment horizontal="center" wrapText="1"/>
      <protection hidden="1"/>
    </xf>
    <xf numFmtId="14" fontId="170" fillId="0" borderId="6" xfId="700" applyNumberFormat="1" applyFont="1" applyFill="1" applyBorder="1" applyAlignment="1" applyProtection="1">
      <alignment horizontal="center" wrapText="1"/>
      <protection hidden="1"/>
    </xf>
    <xf numFmtId="14" fontId="170" fillId="0" borderId="10" xfId="700" applyNumberFormat="1" applyFont="1" applyFill="1" applyBorder="1" applyAlignment="1" applyProtection="1">
      <alignment horizontal="center" wrapText="1"/>
      <protection hidden="1"/>
    </xf>
    <xf numFmtId="44" fontId="170" fillId="0" borderId="8" xfId="700" applyFont="1" applyBorder="1" applyAlignment="1" applyProtection="1">
      <alignment horizontal="center" wrapText="1"/>
      <protection hidden="1"/>
    </xf>
    <xf numFmtId="44" fontId="170" fillId="0" borderId="0" xfId="700" applyFont="1" applyBorder="1" applyAlignment="1" applyProtection="1">
      <alignment horizontal="center" wrapText="1"/>
      <protection hidden="1"/>
    </xf>
    <xf numFmtId="44" fontId="170" fillId="0" borderId="12" xfId="700" applyFont="1" applyBorder="1" applyAlignment="1" applyProtection="1">
      <alignment horizontal="center" wrapText="1"/>
      <protection hidden="1"/>
    </xf>
    <xf numFmtId="44" fontId="170" fillId="0" borderId="9" xfId="700" applyFont="1" applyBorder="1" applyAlignment="1" applyProtection="1">
      <alignment horizontal="center" wrapText="1"/>
      <protection hidden="1"/>
    </xf>
    <xf numFmtId="44" fontId="170" fillId="0" borderId="6" xfId="700" applyFont="1" applyBorder="1" applyAlignment="1" applyProtection="1">
      <alignment horizontal="center" wrapText="1"/>
      <protection hidden="1"/>
    </xf>
    <xf numFmtId="44" fontId="170" fillId="0" borderId="10" xfId="700" applyFont="1" applyBorder="1" applyAlignment="1" applyProtection="1">
      <alignment horizontal="center" wrapText="1"/>
      <protection hidden="1"/>
    </xf>
    <xf numFmtId="43" fontId="170" fillId="49" borderId="41" xfId="698" applyFont="1" applyFill="1" applyBorder="1" applyAlignment="1" applyProtection="1">
      <alignment horizontal="center" wrapText="1"/>
      <protection hidden="1"/>
    </xf>
    <xf numFmtId="43" fontId="170" fillId="49" borderId="82" xfId="698" applyFont="1" applyFill="1" applyBorder="1" applyAlignment="1" applyProtection="1">
      <alignment horizontal="center" wrapText="1"/>
      <protection hidden="1"/>
    </xf>
    <xf numFmtId="0" fontId="172" fillId="45" borderId="11" xfId="8733" applyFont="1" applyFill="1" applyBorder="1" applyAlignment="1">
      <alignment horizontal="left"/>
    </xf>
    <xf numFmtId="182" fontId="2" fillId="48" borderId="11" xfId="700" applyNumberFormat="1" applyFont="1" applyFill="1" applyBorder="1" applyAlignment="1" applyProtection="1">
      <alignment horizontal="center"/>
      <protection locked="0"/>
    </xf>
    <xf numFmtId="10" fontId="172" fillId="48" borderId="11" xfId="1022" applyNumberFormat="1" applyFont="1" applyFill="1" applyBorder="1" applyAlignment="1" applyProtection="1">
      <alignment horizontal="center"/>
      <protection locked="0"/>
    </xf>
    <xf numFmtId="182" fontId="2" fillId="0" borderId="13" xfId="8733" applyNumberFormat="1" applyBorder="1" applyAlignment="1">
      <alignment horizontal="center"/>
    </xf>
    <xf numFmtId="0" fontId="2" fillId="0" borderId="13" xfId="8733" applyBorder="1" applyAlignment="1">
      <alignment horizontal="center"/>
    </xf>
    <xf numFmtId="0" fontId="165" fillId="45" borderId="80" xfId="0" applyFont="1" applyFill="1" applyBorder="1" applyAlignment="1" applyProtection="1">
      <alignment horizontal="center" wrapText="1"/>
      <protection hidden="1"/>
    </xf>
    <xf numFmtId="0" fontId="165" fillId="45" borderId="79" xfId="0" applyFont="1" applyFill="1" applyBorder="1" applyAlignment="1" applyProtection="1">
      <alignment horizontal="center" wrapText="1"/>
      <protection hidden="1"/>
    </xf>
    <xf numFmtId="0" fontId="165" fillId="45" borderId="78" xfId="0" applyFont="1" applyFill="1" applyBorder="1" applyAlignment="1" applyProtection="1">
      <alignment horizontal="center" wrapText="1"/>
      <protection hidden="1"/>
    </xf>
    <xf numFmtId="0" fontId="165" fillId="45" borderId="13" xfId="0" applyFont="1" applyFill="1" applyBorder="1" applyAlignment="1" applyProtection="1">
      <alignment horizontal="left" wrapText="1"/>
      <protection hidden="1"/>
    </xf>
    <xf numFmtId="0" fontId="165" fillId="45" borderId="13" xfId="0" applyFont="1" applyFill="1" applyBorder="1" applyAlignment="1" applyProtection="1">
      <alignment horizontal="center" wrapText="1"/>
      <protection hidden="1"/>
    </xf>
    <xf numFmtId="0" fontId="174" fillId="45" borderId="67" xfId="8733" applyFont="1" applyFill="1" applyBorder="1" applyAlignment="1">
      <alignment horizontal="right"/>
    </xf>
    <xf numFmtId="0" fontId="174" fillId="45" borderId="68" xfId="8733" applyFont="1" applyFill="1" applyBorder="1" applyAlignment="1">
      <alignment horizontal="right"/>
    </xf>
    <xf numFmtId="168" fontId="169" fillId="44" borderId="68" xfId="700" applyNumberFormat="1" applyFont="1" applyFill="1" applyBorder="1" applyAlignment="1">
      <alignment horizontal="left"/>
    </xf>
    <xf numFmtId="168" fontId="169" fillId="44" borderId="71" xfId="700" applyNumberFormat="1" applyFont="1" applyFill="1" applyBorder="1" applyAlignment="1">
      <alignment horizontal="left"/>
    </xf>
    <xf numFmtId="0" fontId="171" fillId="48" borderId="66" xfId="8733" applyFont="1" applyFill="1" applyBorder="1" applyAlignment="1">
      <alignment horizontal="left" wrapText="1"/>
    </xf>
    <xf numFmtId="0" fontId="171" fillId="48" borderId="0" xfId="8733" applyFont="1" applyFill="1" applyAlignment="1">
      <alignment horizontal="left" wrapText="1"/>
    </xf>
    <xf numFmtId="0" fontId="171" fillId="48" borderId="41" xfId="8733" applyFont="1" applyFill="1" applyBorder="1" applyAlignment="1">
      <alignment horizontal="left" wrapText="1"/>
    </xf>
    <xf numFmtId="0" fontId="171" fillId="48" borderId="73" xfId="8733" applyFont="1" applyFill="1" applyBorder="1" applyAlignment="1">
      <alignment horizontal="left" wrapText="1"/>
    </xf>
    <xf numFmtId="0" fontId="171" fillId="48" borderId="42" xfId="8733" applyFont="1" applyFill="1" applyBorder="1" applyAlignment="1">
      <alignment horizontal="left" wrapText="1"/>
    </xf>
    <xf numFmtId="0" fontId="171" fillId="48" borderId="44" xfId="8733" applyFont="1" applyFill="1" applyBorder="1" applyAlignment="1">
      <alignment horizontal="left" wrapText="1"/>
    </xf>
    <xf numFmtId="0" fontId="173" fillId="45" borderId="69" xfId="8733" applyFont="1" applyFill="1" applyBorder="1" applyAlignment="1">
      <alignment horizontal="right"/>
    </xf>
    <xf numFmtId="0" fontId="173" fillId="45" borderId="70" xfId="8733" applyFont="1" applyFill="1" applyBorder="1" applyAlignment="1">
      <alignment horizontal="right"/>
    </xf>
    <xf numFmtId="0" fontId="165" fillId="44" borderId="70" xfId="700" applyNumberFormat="1" applyFont="1" applyFill="1" applyBorder="1" applyAlignment="1">
      <alignment horizontal="left"/>
    </xf>
    <xf numFmtId="168" fontId="165" fillId="44" borderId="70" xfId="700" applyNumberFormat="1" applyFont="1" applyFill="1" applyBorder="1" applyAlignment="1">
      <alignment horizontal="left"/>
    </xf>
    <xf numFmtId="168" fontId="165" fillId="44" borderId="77" xfId="700" applyNumberFormat="1" applyFont="1" applyFill="1" applyBorder="1" applyAlignment="1">
      <alignment horizontal="left"/>
    </xf>
    <xf numFmtId="0" fontId="166" fillId="47" borderId="0" xfId="8733" applyFont="1" applyFill="1" applyAlignment="1">
      <alignment horizontal="right"/>
    </xf>
    <xf numFmtId="168" fontId="170" fillId="47" borderId="0" xfId="700" applyNumberFormat="1" applyFont="1" applyFill="1" applyBorder="1" applyAlignment="1" applyProtection="1">
      <alignment horizontal="left"/>
      <protection locked="0"/>
    </xf>
    <xf numFmtId="0" fontId="172" fillId="48" borderId="87" xfId="8733" applyFont="1" applyFill="1" applyBorder="1" applyAlignment="1" applyProtection="1">
      <alignment horizontal="center"/>
      <protection locked="0"/>
    </xf>
    <xf numFmtId="0" fontId="172" fillId="48" borderId="86" xfId="8733" applyFont="1" applyFill="1" applyBorder="1" applyAlignment="1" applyProtection="1">
      <alignment horizontal="center"/>
      <protection locked="0"/>
    </xf>
    <xf numFmtId="0" fontId="174" fillId="48" borderId="70" xfId="8733" applyFont="1" applyFill="1" applyBorder="1" applyAlignment="1" applyProtection="1">
      <alignment horizontal="left"/>
      <protection locked="0"/>
    </xf>
    <xf numFmtId="0" fontId="174" fillId="48" borderId="77" xfId="8733" applyFont="1" applyFill="1" applyBorder="1" applyAlignment="1" applyProtection="1">
      <alignment horizontal="left"/>
      <protection locked="0"/>
    </xf>
    <xf numFmtId="168" fontId="172" fillId="48" borderId="86" xfId="700" applyNumberFormat="1" applyFont="1" applyFill="1" applyBorder="1" applyAlignment="1" applyProtection="1">
      <alignment horizontal="left"/>
      <protection locked="0"/>
    </xf>
    <xf numFmtId="168" fontId="172" fillId="48" borderId="85" xfId="700" applyNumberFormat="1" applyFont="1" applyFill="1" applyBorder="1" applyAlignment="1" applyProtection="1">
      <alignment horizontal="left"/>
      <protection locked="0"/>
    </xf>
    <xf numFmtId="0" fontId="172" fillId="48" borderId="87" xfId="8733" applyFont="1" applyFill="1" applyBorder="1" applyAlignment="1" applyProtection="1">
      <alignment horizontal="left"/>
      <protection locked="0"/>
    </xf>
    <xf numFmtId="0" fontId="172" fillId="48" borderId="86" xfId="8733" applyFont="1" applyFill="1" applyBorder="1" applyAlignment="1" applyProtection="1">
      <alignment horizontal="left"/>
      <protection locked="0"/>
    </xf>
    <xf numFmtId="0" fontId="172" fillId="48" borderId="85" xfId="8733" applyFont="1" applyFill="1" applyBorder="1" applyAlignment="1" applyProtection="1">
      <alignment horizontal="left"/>
      <protection locked="0"/>
    </xf>
    <xf numFmtId="0" fontId="102" fillId="48" borderId="80" xfId="8733" applyFont="1" applyFill="1" applyBorder="1" applyAlignment="1">
      <alignment horizontal="left"/>
    </xf>
    <xf numFmtId="0" fontId="102" fillId="48" borderId="79" xfId="8733" applyFont="1" applyFill="1" applyBorder="1" applyAlignment="1">
      <alignment horizontal="left"/>
    </xf>
    <xf numFmtId="44" fontId="2" fillId="48" borderId="84" xfId="700" applyFont="1" applyFill="1" applyBorder="1" applyAlignment="1" applyProtection="1">
      <alignment horizontal="center"/>
      <protection locked="0"/>
    </xf>
    <xf numFmtId="0" fontId="172" fillId="48" borderId="72" xfId="8733" applyFont="1" applyFill="1" applyBorder="1" applyAlignment="1" applyProtection="1">
      <alignment horizontal="center"/>
      <protection locked="0"/>
    </xf>
    <xf numFmtId="0" fontId="172" fillId="48" borderId="11" xfId="8733" applyFont="1" applyFill="1" applyBorder="1" applyAlignment="1" applyProtection="1">
      <alignment horizontal="center"/>
      <protection locked="0"/>
    </xf>
    <xf numFmtId="0" fontId="174" fillId="48" borderId="11" xfId="8733" applyFont="1" applyFill="1" applyBorder="1" applyAlignment="1" applyProtection="1">
      <alignment horizontal="left"/>
      <protection locked="0"/>
    </xf>
    <xf numFmtId="168" fontId="172" fillId="48" borderId="11" xfId="700" applyNumberFormat="1" applyFont="1" applyFill="1" applyBorder="1" applyAlignment="1" applyProtection="1">
      <alignment horizontal="left"/>
      <protection locked="0"/>
    </xf>
    <xf numFmtId="0" fontId="172" fillId="48" borderId="11" xfId="8733" applyFont="1" applyFill="1" applyBorder="1" applyAlignment="1" applyProtection="1">
      <alignment horizontal="left"/>
      <protection locked="0"/>
    </xf>
    <xf numFmtId="0" fontId="172" fillId="48" borderId="76" xfId="8733" applyFont="1" applyFill="1" applyBorder="1" applyAlignment="1" applyProtection="1">
      <alignment horizontal="left"/>
      <protection locked="0"/>
    </xf>
    <xf numFmtId="0" fontId="2" fillId="48" borderId="1" xfId="8733" applyFill="1" applyBorder="1" applyAlignment="1">
      <alignment horizontal="center"/>
    </xf>
    <xf numFmtId="0" fontId="2" fillId="48" borderId="2" xfId="8733" applyFill="1" applyBorder="1" applyAlignment="1">
      <alignment horizontal="center"/>
    </xf>
    <xf numFmtId="0" fontId="2" fillId="48" borderId="112" xfId="8733" applyFill="1" applyBorder="1" applyAlignment="1">
      <alignment horizontal="center"/>
    </xf>
    <xf numFmtId="0" fontId="174" fillId="48" borderId="72" xfId="8733" applyFont="1" applyFill="1" applyBorder="1" applyAlignment="1" applyProtection="1">
      <alignment horizontal="center"/>
      <protection locked="0"/>
    </xf>
    <xf numFmtId="0" fontId="174" fillId="48" borderId="11" xfId="8733" applyFont="1" applyFill="1" applyBorder="1" applyAlignment="1" applyProtection="1">
      <alignment horizontal="center"/>
      <protection locked="0"/>
    </xf>
    <xf numFmtId="43" fontId="169" fillId="50" borderId="72" xfId="698" applyFont="1" applyFill="1" applyBorder="1" applyAlignment="1" applyProtection="1">
      <alignment horizontal="left" wrapText="1"/>
      <protection hidden="1"/>
    </xf>
    <xf numFmtId="43" fontId="169" fillId="50" borderId="11" xfId="698" applyFont="1" applyFill="1" applyBorder="1" applyAlignment="1" applyProtection="1">
      <alignment horizontal="left" wrapText="1"/>
      <protection hidden="1"/>
    </xf>
    <xf numFmtId="44" fontId="2" fillId="48" borderId="11" xfId="700" applyFont="1" applyFill="1" applyBorder="1" applyAlignment="1" applyProtection="1">
      <alignment horizontal="center"/>
      <protection hidden="1"/>
    </xf>
    <xf numFmtId="43" fontId="166" fillId="50" borderId="111" xfId="698" applyFont="1" applyFill="1" applyBorder="1" applyAlignment="1" applyProtection="1">
      <alignment horizontal="center"/>
      <protection hidden="1"/>
    </xf>
    <xf numFmtId="43" fontId="166" fillId="50" borderId="84" xfId="698" applyFont="1" applyFill="1" applyBorder="1" applyAlignment="1" applyProtection="1">
      <alignment horizontal="center"/>
      <protection hidden="1"/>
    </xf>
    <xf numFmtId="43" fontId="166" fillId="50" borderId="102" xfId="698" applyFont="1" applyFill="1" applyBorder="1" applyAlignment="1" applyProtection="1">
      <alignment horizontal="center"/>
      <protection hidden="1"/>
    </xf>
    <xf numFmtId="0" fontId="172" fillId="45" borderId="72" xfId="8733" applyFont="1" applyFill="1" applyBorder="1" applyAlignment="1">
      <alignment horizontal="right"/>
    </xf>
    <xf numFmtId="0" fontId="172" fillId="45" borderId="11" xfId="8733" applyFont="1" applyFill="1" applyBorder="1" applyAlignment="1">
      <alignment horizontal="right"/>
    </xf>
    <xf numFmtId="43" fontId="169" fillId="50" borderId="98" xfId="698" applyFont="1" applyFill="1" applyBorder="1" applyAlignment="1" applyProtection="1">
      <alignment horizontal="left"/>
      <protection hidden="1"/>
    </xf>
    <xf numFmtId="43" fontId="169" fillId="50" borderId="13" xfId="698" applyFont="1" applyFill="1" applyBorder="1" applyAlignment="1" applyProtection="1">
      <alignment horizontal="left"/>
      <protection hidden="1"/>
    </xf>
    <xf numFmtId="44" fontId="2" fillId="48" borderId="13" xfId="700" applyFont="1" applyFill="1" applyBorder="1" applyAlignment="1" applyProtection="1">
      <alignment horizontal="center"/>
      <protection locked="0"/>
    </xf>
    <xf numFmtId="0" fontId="172" fillId="48" borderId="9" xfId="8733" applyFont="1" applyFill="1" applyBorder="1" applyAlignment="1">
      <alignment horizontal="center"/>
    </xf>
    <xf numFmtId="0" fontId="172" fillId="48" borderId="6" xfId="8733" applyFont="1" applyFill="1" applyBorder="1" applyAlignment="1">
      <alignment horizontal="center"/>
    </xf>
    <xf numFmtId="0" fontId="172" fillId="48" borderId="82" xfId="8733" applyFont="1" applyFill="1" applyBorder="1" applyAlignment="1">
      <alignment horizontal="center"/>
    </xf>
    <xf numFmtId="0" fontId="2" fillId="48" borderId="3" xfId="8733" applyFill="1" applyBorder="1" applyAlignment="1">
      <alignment horizontal="center"/>
    </xf>
    <xf numFmtId="0" fontId="2" fillId="48" borderId="4" xfId="8733" applyFill="1" applyBorder="1" applyAlignment="1">
      <alignment horizontal="center"/>
    </xf>
    <xf numFmtId="0" fontId="2" fillId="48" borderId="81" xfId="8733" applyFill="1" applyBorder="1" applyAlignment="1">
      <alignment horizontal="center"/>
    </xf>
    <xf numFmtId="168" fontId="174" fillId="44" borderId="11" xfId="700" applyNumberFormat="1" applyFont="1" applyFill="1" applyBorder="1" applyAlignment="1">
      <alignment horizontal="left"/>
    </xf>
    <xf numFmtId="0" fontId="102" fillId="45" borderId="65" xfId="8733" applyFont="1" applyFill="1" applyBorder="1" applyAlignment="1">
      <alignment horizontal="left" wrapText="1"/>
    </xf>
    <xf numFmtId="0" fontId="102" fillId="45" borderId="29" xfId="8733" applyFont="1" applyFill="1" applyBorder="1" applyAlignment="1">
      <alignment horizontal="left" wrapText="1"/>
    </xf>
    <xf numFmtId="0" fontId="102" fillId="45" borderId="31" xfId="8733" applyFont="1" applyFill="1" applyBorder="1" applyAlignment="1">
      <alignment horizontal="left" wrapText="1"/>
    </xf>
    <xf numFmtId="0" fontId="102" fillId="45" borderId="73" xfId="8733" applyFont="1" applyFill="1" applyBorder="1" applyAlignment="1">
      <alignment horizontal="left" wrapText="1"/>
    </xf>
    <xf numFmtId="0" fontId="102" fillId="45" borderId="42" xfId="8733" applyFont="1" applyFill="1" applyBorder="1" applyAlignment="1">
      <alignment horizontal="left" wrapText="1"/>
    </xf>
    <xf numFmtId="0" fontId="102" fillId="45" borderId="44" xfId="8733" applyFont="1" applyFill="1" applyBorder="1" applyAlignment="1">
      <alignment horizontal="left" wrapText="1"/>
    </xf>
    <xf numFmtId="43" fontId="169" fillId="50" borderId="72" xfId="698" applyFont="1" applyFill="1" applyBorder="1" applyAlignment="1" applyProtection="1">
      <alignment horizontal="left"/>
      <protection hidden="1"/>
    </xf>
    <xf numFmtId="43" fontId="169" fillId="50" borderId="11" xfId="698" applyFont="1" applyFill="1" applyBorder="1" applyAlignment="1" applyProtection="1">
      <alignment horizontal="left"/>
      <protection hidden="1"/>
    </xf>
    <xf numFmtId="44" fontId="2" fillId="48" borderId="11" xfId="700" applyFont="1" applyFill="1" applyBorder="1" applyAlignment="1" applyProtection="1">
      <alignment horizontal="center"/>
      <protection locked="0"/>
    </xf>
    <xf numFmtId="0" fontId="102" fillId="45" borderId="67" xfId="8733" applyFont="1" applyFill="1" applyBorder="1" applyAlignment="1">
      <alignment horizontal="center"/>
    </xf>
    <xf numFmtId="0" fontId="102" fillId="45" borderId="68" xfId="8733" applyFont="1" applyFill="1" applyBorder="1" applyAlignment="1">
      <alignment horizontal="center"/>
    </xf>
    <xf numFmtId="0" fontId="166" fillId="45" borderId="68" xfId="8733" applyFont="1" applyFill="1" applyBorder="1" applyAlignment="1">
      <alignment horizontal="center"/>
    </xf>
    <xf numFmtId="0" fontId="166" fillId="45" borderId="71" xfId="8733" applyFont="1" applyFill="1" applyBorder="1" applyAlignment="1">
      <alignment horizontal="center"/>
    </xf>
    <xf numFmtId="0" fontId="173" fillId="51" borderId="11" xfId="8733" applyFont="1" applyFill="1" applyBorder="1" applyAlignment="1">
      <alignment horizontal="center"/>
    </xf>
    <xf numFmtId="0" fontId="173" fillId="51" borderId="76" xfId="8733" applyFont="1" applyFill="1" applyBorder="1" applyAlignment="1">
      <alignment horizontal="center"/>
    </xf>
    <xf numFmtId="0" fontId="174" fillId="45" borderId="72" xfId="8733" applyFont="1" applyFill="1" applyBorder="1" applyAlignment="1">
      <alignment horizontal="right"/>
    </xf>
    <xf numFmtId="0" fontId="174" fillId="45" borderId="11" xfId="8733" applyFont="1" applyFill="1" applyBorder="1" applyAlignment="1">
      <alignment horizontal="right"/>
    </xf>
    <xf numFmtId="168" fontId="174" fillId="48" borderId="11" xfId="700" applyNumberFormat="1" applyFont="1" applyFill="1" applyBorder="1" applyAlignment="1" applyProtection="1">
      <alignment horizontal="left"/>
      <protection locked="0"/>
    </xf>
    <xf numFmtId="168" fontId="172" fillId="44" borderId="11" xfId="700" applyNumberFormat="1" applyFont="1" applyFill="1" applyBorder="1" applyAlignment="1" applyProtection="1">
      <alignment horizontal="left"/>
      <protection locked="0"/>
    </xf>
    <xf numFmtId="0" fontId="102" fillId="45" borderId="71" xfId="8733" applyFont="1" applyFill="1" applyBorder="1" applyAlignment="1">
      <alignment horizontal="center"/>
    </xf>
    <xf numFmtId="0" fontId="166" fillId="45" borderId="67" xfId="8733" applyFont="1" applyFill="1" applyBorder="1" applyAlignment="1">
      <alignment horizontal="left"/>
    </xf>
    <xf numFmtId="0" fontId="166" fillId="45" borderId="68" xfId="8733" applyFont="1" applyFill="1" applyBorder="1" applyAlignment="1">
      <alignment horizontal="left"/>
    </xf>
    <xf numFmtId="0" fontId="166" fillId="45" borderId="71" xfId="8733" applyFont="1" applyFill="1" applyBorder="1" applyAlignment="1">
      <alignment horizontal="left"/>
    </xf>
    <xf numFmtId="0" fontId="102" fillId="45" borderId="72" xfId="8733" applyFont="1" applyFill="1" applyBorder="1" applyAlignment="1">
      <alignment horizontal="center"/>
    </xf>
    <xf numFmtId="0" fontId="102" fillId="45" borderId="11" xfId="8733" applyFont="1" applyFill="1" applyBorder="1" applyAlignment="1">
      <alignment horizontal="center"/>
    </xf>
    <xf numFmtId="0" fontId="102" fillId="45" borderId="76" xfId="8733" applyFont="1" applyFill="1" applyBorder="1" applyAlignment="1">
      <alignment horizontal="center"/>
    </xf>
    <xf numFmtId="0" fontId="172" fillId="48" borderId="72" xfId="8733" applyFont="1" applyFill="1" applyBorder="1" applyAlignment="1" applyProtection="1">
      <alignment horizontal="left" vertical="top"/>
      <protection locked="0"/>
    </xf>
    <xf numFmtId="0" fontId="172" fillId="48" borderId="11" xfId="8733" applyFont="1" applyFill="1" applyBorder="1" applyAlignment="1" applyProtection="1">
      <alignment horizontal="left" vertical="top"/>
      <protection locked="0"/>
    </xf>
    <xf numFmtId="0" fontId="172" fillId="48" borderId="76" xfId="8733" applyFont="1" applyFill="1" applyBorder="1" applyAlignment="1" applyProtection="1">
      <alignment horizontal="left" vertical="top"/>
      <protection locked="0"/>
    </xf>
    <xf numFmtId="0" fontId="172" fillId="48" borderId="69" xfId="8733" applyFont="1" applyFill="1" applyBorder="1" applyAlignment="1" applyProtection="1">
      <alignment horizontal="left" vertical="top"/>
      <protection locked="0"/>
    </xf>
    <xf numFmtId="0" fontId="172" fillId="48" borderId="70" xfId="8733" applyFont="1" applyFill="1" applyBorder="1" applyAlignment="1" applyProtection="1">
      <alignment horizontal="left" vertical="top"/>
      <protection locked="0"/>
    </xf>
    <xf numFmtId="0" fontId="172" fillId="48" borderId="77" xfId="8733" applyFont="1" applyFill="1" applyBorder="1" applyAlignment="1" applyProtection="1">
      <alignment horizontal="left" vertical="top"/>
      <protection locked="0"/>
    </xf>
    <xf numFmtId="14" fontId="172" fillId="48" borderId="11" xfId="8733" applyNumberFormat="1" applyFont="1" applyFill="1" applyBorder="1" applyAlignment="1" applyProtection="1">
      <alignment horizontal="center"/>
      <protection locked="0"/>
    </xf>
    <xf numFmtId="14" fontId="172" fillId="48" borderId="76" xfId="8733" applyNumberFormat="1" applyFont="1" applyFill="1" applyBorder="1" applyAlignment="1" applyProtection="1">
      <alignment horizontal="center"/>
      <protection locked="0"/>
    </xf>
    <xf numFmtId="0" fontId="172" fillId="48" borderId="69" xfId="8733" applyFont="1" applyFill="1" applyBorder="1" applyAlignment="1" applyProtection="1">
      <alignment horizontal="center"/>
      <protection locked="0"/>
    </xf>
    <xf numFmtId="0" fontId="172" fillId="48" borderId="70" xfId="8733" applyFont="1" applyFill="1" applyBorder="1" applyAlignment="1" applyProtection="1">
      <alignment horizontal="center"/>
      <protection locked="0"/>
    </xf>
    <xf numFmtId="14" fontId="172" fillId="48" borderId="70" xfId="8733" applyNumberFormat="1" applyFont="1" applyFill="1" applyBorder="1" applyAlignment="1" applyProtection="1">
      <alignment horizontal="center"/>
      <protection locked="0"/>
    </xf>
    <xf numFmtId="14" fontId="172" fillId="48" borderId="77" xfId="8733" applyNumberFormat="1" applyFont="1" applyFill="1" applyBorder="1" applyAlignment="1" applyProtection="1">
      <alignment horizontal="center"/>
      <protection locked="0"/>
    </xf>
    <xf numFmtId="0" fontId="171" fillId="45" borderId="72" xfId="8733" applyFont="1" applyFill="1" applyBorder="1" applyAlignment="1">
      <alignment horizontal="center"/>
    </xf>
    <xf numFmtId="0" fontId="171" fillId="45" borderId="11" xfId="8733" applyFont="1" applyFill="1" applyBorder="1" applyAlignment="1">
      <alignment horizontal="center"/>
    </xf>
    <xf numFmtId="0" fontId="175" fillId="48" borderId="11" xfId="8733" applyFont="1" applyFill="1" applyBorder="1" applyAlignment="1" applyProtection="1">
      <alignment horizontal="left"/>
      <protection locked="0"/>
    </xf>
    <xf numFmtId="14" fontId="174" fillId="48" borderId="11" xfId="8733" applyNumberFormat="1" applyFont="1" applyFill="1" applyBorder="1" applyAlignment="1" applyProtection="1">
      <alignment horizontal="center"/>
      <protection locked="0"/>
    </xf>
    <xf numFmtId="168" fontId="174" fillId="48" borderId="11" xfId="8734" applyNumberFormat="1" applyFont="1" applyFill="1" applyBorder="1" applyAlignment="1" applyProtection="1">
      <alignment horizontal="center"/>
      <protection locked="0"/>
    </xf>
    <xf numFmtId="168" fontId="174" fillId="48" borderId="76" xfId="8734" applyNumberFormat="1" applyFont="1" applyFill="1" applyBorder="1" applyAlignment="1" applyProtection="1">
      <alignment horizontal="center"/>
      <protection locked="0"/>
    </xf>
    <xf numFmtId="0" fontId="171" fillId="45" borderId="69" xfId="8733" applyFont="1" applyFill="1" applyBorder="1" applyAlignment="1">
      <alignment horizontal="center"/>
    </xf>
    <xf numFmtId="0" fontId="171" fillId="45" borderId="70" xfId="8733" applyFont="1" applyFill="1" applyBorder="1" applyAlignment="1">
      <alignment horizontal="center"/>
    </xf>
    <xf numFmtId="0" fontId="175" fillId="48" borderId="70" xfId="8733" applyFont="1" applyFill="1" applyBorder="1" applyAlignment="1" applyProtection="1">
      <alignment horizontal="left"/>
      <protection locked="0"/>
    </xf>
    <xf numFmtId="0" fontId="174" fillId="48" borderId="70" xfId="8733" applyFont="1" applyFill="1" applyBorder="1" applyAlignment="1" applyProtection="1">
      <alignment horizontal="center"/>
      <protection locked="0"/>
    </xf>
    <xf numFmtId="14" fontId="174" fillId="48" borderId="70" xfId="8733" applyNumberFormat="1" applyFont="1" applyFill="1" applyBorder="1" applyAlignment="1" applyProtection="1">
      <alignment horizontal="center"/>
      <protection locked="0"/>
    </xf>
    <xf numFmtId="168" fontId="174" fillId="48" borderId="70" xfId="8734" applyNumberFormat="1" applyFont="1" applyFill="1" applyBorder="1" applyAlignment="1" applyProtection="1">
      <alignment horizontal="center"/>
      <protection locked="0"/>
    </xf>
    <xf numFmtId="168" fontId="174" fillId="48" borderId="77" xfId="8734" applyNumberFormat="1" applyFont="1" applyFill="1" applyBorder="1" applyAlignment="1" applyProtection="1">
      <alignment horizontal="center"/>
      <protection locked="0"/>
    </xf>
    <xf numFmtId="0" fontId="176" fillId="45" borderId="69" xfId="8733" applyFont="1" applyFill="1" applyBorder="1" applyAlignment="1">
      <alignment horizontal="left"/>
    </xf>
    <xf numFmtId="0" fontId="176" fillId="45" borderId="70" xfId="8733" applyFont="1" applyFill="1" applyBorder="1" applyAlignment="1">
      <alignment horizontal="left"/>
    </xf>
    <xf numFmtId="0" fontId="2" fillId="48" borderId="70" xfId="8733" applyFill="1" applyBorder="1" applyAlignment="1" applyProtection="1">
      <alignment horizontal="center"/>
      <protection locked="0"/>
    </xf>
    <xf numFmtId="0" fontId="2" fillId="48" borderId="77" xfId="8733" applyFill="1" applyBorder="1" applyAlignment="1" applyProtection="1">
      <alignment horizontal="center"/>
      <protection locked="0"/>
    </xf>
    <xf numFmtId="0" fontId="166" fillId="45" borderId="67" xfId="8733" applyFont="1" applyFill="1" applyBorder="1" applyAlignment="1">
      <alignment horizontal="center"/>
    </xf>
    <xf numFmtId="0" fontId="165" fillId="45" borderId="11" xfId="8733" applyFont="1" applyFill="1" applyBorder="1" applyAlignment="1">
      <alignment horizontal="center"/>
    </xf>
    <xf numFmtId="0" fontId="176" fillId="45" borderId="72" xfId="8733" applyFont="1" applyFill="1" applyBorder="1" applyAlignment="1">
      <alignment horizontal="left"/>
    </xf>
    <xf numFmtId="0" fontId="176" fillId="45" borderId="11" xfId="8733" applyFont="1" applyFill="1" applyBorder="1" applyAlignment="1">
      <alignment horizontal="left"/>
    </xf>
    <xf numFmtId="0" fontId="2" fillId="48" borderId="11" xfId="8733" applyFill="1" applyBorder="1" applyAlignment="1" applyProtection="1">
      <alignment horizontal="center"/>
      <protection locked="0"/>
    </xf>
    <xf numFmtId="0" fontId="2" fillId="48" borderId="76" xfId="8733" applyFill="1" applyBorder="1" applyAlignment="1" applyProtection="1">
      <alignment horizontal="center"/>
      <protection locked="0"/>
    </xf>
    <xf numFmtId="0" fontId="165" fillId="45" borderId="11" xfId="8733" applyFont="1" applyFill="1" applyBorder="1" applyAlignment="1">
      <alignment horizontal="center" wrapText="1"/>
    </xf>
    <xf numFmtId="0" fontId="165" fillId="45" borderId="76" xfId="8733" applyFont="1" applyFill="1" applyBorder="1" applyAlignment="1">
      <alignment horizontal="center" wrapText="1"/>
    </xf>
    <xf numFmtId="0" fontId="165" fillId="48" borderId="90" xfId="8733" applyFont="1" applyFill="1" applyBorder="1" applyAlignment="1">
      <alignment horizontal="left"/>
    </xf>
    <xf numFmtId="0" fontId="165" fillId="48" borderId="4" xfId="8733" applyFont="1" applyFill="1" applyBorder="1" applyAlignment="1">
      <alignment horizontal="left"/>
    </xf>
    <xf numFmtId="0" fontId="165" fillId="48" borderId="5" xfId="8733" applyFont="1" applyFill="1" applyBorder="1" applyAlignment="1">
      <alignment horizontal="left"/>
    </xf>
    <xf numFmtId="0" fontId="169" fillId="48" borderId="68" xfId="8733" applyFont="1" applyFill="1" applyBorder="1" applyAlignment="1" applyProtection="1">
      <alignment horizontal="left"/>
      <protection locked="0"/>
    </xf>
    <xf numFmtId="0" fontId="169" fillId="48" borderId="71" xfId="8733" applyFont="1" applyFill="1" applyBorder="1" applyAlignment="1" applyProtection="1">
      <alignment horizontal="left"/>
      <protection locked="0"/>
    </xf>
    <xf numFmtId="0" fontId="165" fillId="45" borderId="72" xfId="8733" applyFont="1" applyFill="1" applyBorder="1" applyAlignment="1">
      <alignment horizontal="left"/>
    </xf>
    <xf numFmtId="0" fontId="165" fillId="45" borderId="11" xfId="8733" applyFont="1" applyFill="1" applyBorder="1" applyAlignment="1">
      <alignment horizontal="left"/>
    </xf>
    <xf numFmtId="0" fontId="177" fillId="48" borderId="11" xfId="8733" applyFont="1" applyFill="1" applyBorder="1" applyAlignment="1" applyProtection="1">
      <alignment horizontal="left"/>
      <protection locked="0"/>
    </xf>
    <xf numFmtId="0" fontId="177" fillId="48" borderId="76" xfId="8733" applyFont="1" applyFill="1" applyBorder="1" applyAlignment="1" applyProtection="1">
      <alignment horizontal="left"/>
      <protection locked="0"/>
    </xf>
    <xf numFmtId="0" fontId="174" fillId="48" borderId="72" xfId="8733" applyFont="1" applyFill="1" applyBorder="1" applyAlignment="1" applyProtection="1">
      <alignment horizontal="left" vertical="top"/>
      <protection locked="0"/>
    </xf>
    <xf numFmtId="0" fontId="174" fillId="48" borderId="11" xfId="8733" applyFont="1" applyFill="1" applyBorder="1" applyAlignment="1" applyProtection="1">
      <alignment horizontal="left" vertical="top"/>
      <protection locked="0"/>
    </xf>
    <xf numFmtId="0" fontId="174" fillId="48" borderId="76" xfId="8733" applyFont="1" applyFill="1" applyBorder="1" applyAlignment="1" applyProtection="1">
      <alignment horizontal="left" vertical="top"/>
      <protection locked="0"/>
    </xf>
    <xf numFmtId="0" fontId="174" fillId="48" borderId="69" xfId="8733" applyFont="1" applyFill="1" applyBorder="1" applyAlignment="1" applyProtection="1">
      <alignment horizontal="left" vertical="top"/>
      <protection locked="0"/>
    </xf>
    <xf numFmtId="0" fontId="174" fillId="48" borderId="70" xfId="8733" applyFont="1" applyFill="1" applyBorder="1" applyAlignment="1" applyProtection="1">
      <alignment horizontal="left" vertical="top"/>
      <protection locked="0"/>
    </xf>
    <xf numFmtId="0" fontId="174" fillId="48" borderId="77" xfId="8733" applyFont="1" applyFill="1" applyBorder="1" applyAlignment="1" applyProtection="1">
      <alignment horizontal="left" vertical="top"/>
      <protection locked="0"/>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9" fillId="48" borderId="3" xfId="8733" applyFont="1" applyFill="1" applyBorder="1" applyAlignment="1" applyProtection="1">
      <alignment horizontal="center"/>
      <protection locked="0"/>
    </xf>
    <xf numFmtId="0" fontId="169" fillId="48" borderId="4" xfId="8733" applyFont="1" applyFill="1" applyBorder="1" applyAlignment="1" applyProtection="1">
      <alignment horizontal="center"/>
      <protection locked="0"/>
    </xf>
    <xf numFmtId="0" fontId="169" fillId="48" borderId="81" xfId="8733" applyFont="1" applyFill="1" applyBorder="1" applyAlignment="1" applyProtection="1">
      <alignment horizontal="center"/>
      <protection locked="0"/>
    </xf>
    <xf numFmtId="0" fontId="166" fillId="45" borderId="93" xfId="8733" applyFont="1" applyFill="1" applyBorder="1" applyAlignment="1">
      <alignment horizontal="center"/>
    </xf>
    <xf numFmtId="0" fontId="166" fillId="45" borderId="92" xfId="8733" applyFont="1" applyFill="1" applyBorder="1" applyAlignment="1">
      <alignment horizontal="center"/>
    </xf>
    <xf numFmtId="0" fontId="166" fillId="45" borderId="91" xfId="8733" applyFont="1" applyFill="1" applyBorder="1" applyAlignment="1">
      <alignment horizontal="center"/>
    </xf>
    <xf numFmtId="0" fontId="173" fillId="45" borderId="11" xfId="8733" applyFont="1" applyFill="1" applyBorder="1" applyAlignment="1">
      <alignment horizontal="center"/>
    </xf>
    <xf numFmtId="0" fontId="179" fillId="45" borderId="11" xfId="8733" applyFont="1" applyFill="1" applyBorder="1" applyAlignment="1">
      <alignment horizontal="left"/>
    </xf>
    <xf numFmtId="0" fontId="179" fillId="45" borderId="76" xfId="8733" applyFont="1" applyFill="1" applyBorder="1" applyAlignment="1">
      <alignment horizontal="left"/>
    </xf>
    <xf numFmtId="0" fontId="2" fillId="51" borderId="70" xfId="8733" applyFill="1" applyBorder="1" applyAlignment="1" applyProtection="1">
      <alignment horizontal="center"/>
      <protection locked="0"/>
    </xf>
    <xf numFmtId="0" fontId="2" fillId="51" borderId="77" xfId="8733" applyFill="1" applyBorder="1" applyAlignment="1" applyProtection="1">
      <alignment horizontal="center"/>
      <protection locked="0"/>
    </xf>
    <xf numFmtId="0" fontId="102" fillId="45" borderId="67" xfId="8733" applyFont="1" applyFill="1" applyBorder="1" applyAlignment="1" applyProtection="1">
      <alignment horizontal="left" vertical="center" wrapText="1"/>
      <protection locked="0"/>
    </xf>
    <xf numFmtId="0" fontId="102" fillId="45" borderId="68" xfId="8733" applyFont="1" applyFill="1" applyBorder="1" applyAlignment="1" applyProtection="1">
      <alignment horizontal="left" vertical="center" wrapText="1"/>
      <protection locked="0"/>
    </xf>
    <xf numFmtId="0" fontId="102" fillId="45" borderId="72" xfId="8733" applyFont="1" applyFill="1" applyBorder="1" applyAlignment="1" applyProtection="1">
      <alignment horizontal="left" vertical="center" wrapText="1"/>
      <protection locked="0"/>
    </xf>
    <xf numFmtId="0" fontId="102" fillId="45" borderId="11" xfId="8733" applyFont="1" applyFill="1" applyBorder="1" applyAlignment="1" applyProtection="1">
      <alignment horizontal="left" vertical="center" wrapText="1"/>
      <protection locked="0"/>
    </xf>
    <xf numFmtId="0" fontId="169" fillId="48" borderId="68" xfId="8733" applyFont="1" applyFill="1" applyBorder="1" applyAlignment="1" applyProtection="1">
      <alignment horizontal="left" vertical="center" wrapText="1"/>
      <protection locked="0"/>
    </xf>
    <xf numFmtId="0" fontId="169" fillId="48" borderId="71" xfId="8733" applyFont="1" applyFill="1" applyBorder="1" applyAlignment="1" applyProtection="1">
      <alignment horizontal="left" vertical="center" wrapText="1"/>
      <protection locked="0"/>
    </xf>
    <xf numFmtId="0" fontId="169" fillId="48" borderId="11" xfId="8733" applyFont="1" applyFill="1" applyBorder="1" applyAlignment="1" applyProtection="1">
      <alignment horizontal="left" vertical="center" wrapText="1"/>
      <protection locked="0"/>
    </xf>
    <xf numFmtId="0" fontId="169" fillId="48" borderId="76" xfId="8733" applyFont="1" applyFill="1" applyBorder="1" applyAlignment="1" applyProtection="1">
      <alignment horizontal="left" vertical="center" wrapText="1"/>
      <protection locked="0"/>
    </xf>
    <xf numFmtId="0" fontId="172" fillId="48" borderId="72" xfId="8733" applyFont="1" applyFill="1" applyBorder="1" applyAlignment="1" applyProtection="1">
      <alignment horizontal="left" vertical="top" wrapText="1"/>
      <protection locked="0"/>
    </xf>
    <xf numFmtId="0" fontId="172" fillId="48" borderId="11" xfId="8733" applyFont="1" applyFill="1" applyBorder="1" applyAlignment="1" applyProtection="1">
      <alignment horizontal="left" vertical="top" wrapText="1"/>
      <protection locked="0"/>
    </xf>
    <xf numFmtId="0" fontId="172" fillId="48" borderId="69" xfId="8733" applyFont="1" applyFill="1" applyBorder="1" applyAlignment="1" applyProtection="1">
      <alignment horizontal="left" vertical="top" wrapText="1"/>
      <protection locked="0"/>
    </xf>
    <xf numFmtId="0" fontId="172" fillId="48" borderId="70" xfId="8733" applyFont="1" applyFill="1" applyBorder="1" applyAlignment="1" applyProtection="1">
      <alignment horizontal="left" vertical="top" wrapText="1"/>
      <protection locked="0"/>
    </xf>
    <xf numFmtId="0" fontId="169" fillId="48" borderId="11" xfId="8733" applyFont="1" applyFill="1" applyBorder="1" applyAlignment="1" applyProtection="1">
      <alignment horizontal="center" vertical="center" wrapText="1"/>
      <protection locked="0"/>
    </xf>
    <xf numFmtId="0" fontId="169" fillId="48" borderId="76" xfId="8733" applyFont="1" applyFill="1" applyBorder="1" applyAlignment="1" applyProtection="1">
      <alignment horizontal="center" vertical="center" wrapText="1"/>
      <protection locked="0"/>
    </xf>
    <xf numFmtId="0" fontId="169" fillId="48" borderId="70" xfId="8733" applyFont="1" applyFill="1" applyBorder="1" applyAlignment="1" applyProtection="1">
      <alignment horizontal="center" vertical="center" wrapText="1"/>
      <protection locked="0"/>
    </xf>
    <xf numFmtId="0" fontId="169" fillId="48" borderId="77" xfId="8733" applyFont="1" applyFill="1" applyBorder="1" applyAlignment="1" applyProtection="1">
      <alignment horizontal="center" vertical="center" wrapText="1"/>
      <protection locked="0"/>
    </xf>
    <xf numFmtId="0" fontId="102" fillId="45" borderId="67" xfId="8733" applyFont="1" applyFill="1" applyBorder="1" applyAlignment="1">
      <alignment horizontal="left" wrapText="1"/>
    </xf>
    <xf numFmtId="0" fontId="102" fillId="45" borderId="68" xfId="8733" applyFont="1" applyFill="1" applyBorder="1" applyAlignment="1">
      <alignment horizontal="left" wrapText="1"/>
    </xf>
    <xf numFmtId="0" fontId="102" fillId="45" borderId="71" xfId="8733" applyFont="1" applyFill="1" applyBorder="1" applyAlignment="1">
      <alignment horizontal="left" wrapText="1"/>
    </xf>
    <xf numFmtId="0" fontId="102" fillId="45" borderId="72" xfId="8733" applyFont="1" applyFill="1" applyBorder="1" applyAlignment="1">
      <alignment horizontal="left" wrapText="1"/>
    </xf>
    <xf numFmtId="0" fontId="102" fillId="45" borderId="11" xfId="8733" applyFont="1" applyFill="1" applyBorder="1" applyAlignment="1">
      <alignment horizontal="left" wrapText="1"/>
    </xf>
    <xf numFmtId="0" fontId="102" fillId="45" borderId="76" xfId="8733" applyFont="1" applyFill="1" applyBorder="1" applyAlignment="1">
      <alignment horizontal="left" wrapText="1"/>
    </xf>
    <xf numFmtId="0" fontId="102" fillId="45" borderId="65" xfId="8733" applyFont="1" applyFill="1" applyBorder="1" applyAlignment="1">
      <alignment horizontal="center"/>
    </xf>
    <xf numFmtId="0" fontId="102" fillId="45" borderId="29" xfId="8733" applyFont="1" applyFill="1" applyBorder="1" applyAlignment="1">
      <alignment horizontal="center"/>
    </xf>
    <xf numFmtId="0" fontId="102" fillId="45" borderId="31" xfId="8733" applyFont="1" applyFill="1" applyBorder="1" applyAlignment="1">
      <alignment horizontal="center"/>
    </xf>
    <xf numFmtId="0" fontId="173" fillId="45" borderId="69" xfId="8733" applyFont="1" applyFill="1" applyBorder="1" applyAlignment="1">
      <alignment horizontal="center"/>
    </xf>
    <xf numFmtId="0" fontId="173" fillId="45" borderId="70" xfId="8733" applyFont="1" applyFill="1" applyBorder="1" applyAlignment="1">
      <alignment horizontal="center"/>
    </xf>
    <xf numFmtId="0" fontId="173" fillId="45" borderId="72" xfId="8733" applyFont="1" applyFill="1" applyBorder="1" applyAlignment="1">
      <alignment horizontal="center"/>
    </xf>
    <xf numFmtId="10" fontId="2" fillId="48" borderId="94" xfId="8733" applyNumberFormat="1" applyFill="1" applyBorder="1" applyAlignment="1" applyProtection="1">
      <alignment horizontal="center"/>
      <protection locked="0"/>
    </xf>
    <xf numFmtId="10" fontId="2" fillId="48" borderId="86" xfId="8733" applyNumberFormat="1" applyFill="1" applyBorder="1" applyAlignment="1" applyProtection="1">
      <alignment horizontal="center"/>
      <protection locked="0"/>
    </xf>
    <xf numFmtId="10" fontId="2" fillId="48" borderId="85" xfId="8733" applyNumberFormat="1" applyFill="1" applyBorder="1" applyAlignment="1" applyProtection="1">
      <alignment horizontal="center"/>
      <protection locked="0"/>
    </xf>
    <xf numFmtId="0" fontId="173" fillId="45" borderId="11" xfId="8733" applyFont="1" applyFill="1" applyBorder="1" applyAlignment="1">
      <alignment horizontal="center" wrapText="1"/>
    </xf>
    <xf numFmtId="0" fontId="165" fillId="45" borderId="76" xfId="8733" applyFont="1" applyFill="1" applyBorder="1" applyAlignment="1">
      <alignment horizontal="center"/>
    </xf>
    <xf numFmtId="0" fontId="169" fillId="48" borderId="68" xfId="8733" applyFont="1" applyFill="1" applyBorder="1" applyAlignment="1" applyProtection="1">
      <alignment horizontal="left" wrapText="1"/>
      <protection locked="0"/>
    </xf>
    <xf numFmtId="0" fontId="169" fillId="48" borderId="71" xfId="8733" applyFont="1" applyFill="1" applyBorder="1" applyAlignment="1" applyProtection="1">
      <alignment horizontal="left" wrapText="1"/>
      <protection locked="0"/>
    </xf>
    <xf numFmtId="0" fontId="169" fillId="48" borderId="11" xfId="8733" applyFont="1" applyFill="1" applyBorder="1" applyAlignment="1" applyProtection="1">
      <alignment horizontal="left" wrapText="1"/>
      <protection locked="0"/>
    </xf>
    <xf numFmtId="0" fontId="169" fillId="48" borderId="76" xfId="8733" applyFont="1" applyFill="1" applyBorder="1" applyAlignment="1" applyProtection="1">
      <alignment horizontal="left" wrapText="1"/>
      <protection locked="0"/>
    </xf>
    <xf numFmtId="0" fontId="2" fillId="48" borderId="9" xfId="8733" applyFill="1" applyBorder="1" applyAlignment="1" applyProtection="1">
      <alignment horizontal="center"/>
      <protection locked="0"/>
    </xf>
    <xf numFmtId="0" fontId="2" fillId="48" borderId="6" xfId="8733" applyFill="1" applyBorder="1" applyAlignment="1" applyProtection="1">
      <alignment horizontal="center"/>
      <protection locked="0"/>
    </xf>
    <xf numFmtId="0" fontId="2" fillId="48" borderId="82" xfId="8733" applyFill="1" applyBorder="1" applyAlignment="1" applyProtection="1">
      <alignment horizontal="center"/>
      <protection locked="0"/>
    </xf>
    <xf numFmtId="0" fontId="173" fillId="45" borderId="97" xfId="8733" applyFont="1" applyFill="1" applyBorder="1" applyAlignment="1">
      <alignment horizontal="left"/>
    </xf>
    <xf numFmtId="0" fontId="173" fillId="45" borderId="2" xfId="8733" applyFont="1" applyFill="1" applyBorder="1" applyAlignment="1">
      <alignment horizontal="left"/>
    </xf>
    <xf numFmtId="0" fontId="173" fillId="45" borderId="7" xfId="8733" applyFont="1" applyFill="1" applyBorder="1" applyAlignment="1">
      <alignment horizontal="left"/>
    </xf>
    <xf numFmtId="10" fontId="2" fillId="0" borderId="94" xfId="8733" applyNumberFormat="1" applyBorder="1" applyAlignment="1">
      <alignment horizontal="center"/>
    </xf>
    <xf numFmtId="10" fontId="2" fillId="0" borderId="86" xfId="8733" applyNumberFormat="1" applyBorder="1" applyAlignment="1">
      <alignment horizontal="center"/>
    </xf>
    <xf numFmtId="10" fontId="2" fillId="0" borderId="85" xfId="8733" applyNumberFormat="1" applyBorder="1" applyAlignment="1">
      <alignment horizontal="center"/>
    </xf>
    <xf numFmtId="0" fontId="173" fillId="45" borderId="73" xfId="8733" applyFont="1" applyFill="1" applyBorder="1" applyAlignment="1">
      <alignment horizontal="left"/>
    </xf>
    <xf numFmtId="0" fontId="173" fillId="45" borderId="42" xfId="8733" applyFont="1" applyFill="1" applyBorder="1" applyAlignment="1">
      <alignment horizontal="left"/>
    </xf>
    <xf numFmtId="0" fontId="173" fillId="45" borderId="96" xfId="8733" applyFont="1" applyFill="1" applyBorder="1" applyAlignment="1">
      <alignment horizontal="left"/>
    </xf>
    <xf numFmtId="0" fontId="102" fillId="45" borderId="67" xfId="8733" applyFont="1" applyFill="1" applyBorder="1" applyAlignment="1">
      <alignment horizontal="center" wrapText="1"/>
    </xf>
    <xf numFmtId="0" fontId="102" fillId="45" borderId="68" xfId="8733" applyFont="1" applyFill="1" applyBorder="1" applyAlignment="1">
      <alignment horizontal="center" wrapText="1"/>
    </xf>
    <xf numFmtId="0" fontId="102" fillId="45" borderId="71" xfId="8733" applyFont="1" applyFill="1" applyBorder="1" applyAlignment="1">
      <alignment horizontal="center" wrapText="1"/>
    </xf>
    <xf numFmtId="0" fontId="174" fillId="48" borderId="72" xfId="8733" applyFont="1" applyFill="1" applyBorder="1" applyAlignment="1" applyProtection="1">
      <alignment horizontal="right"/>
      <protection locked="0"/>
    </xf>
    <xf numFmtId="0" fontId="174" fillId="48" borderId="11" xfId="8733" applyFont="1" applyFill="1" applyBorder="1" applyAlignment="1" applyProtection="1">
      <alignment horizontal="right"/>
      <protection locked="0"/>
    </xf>
    <xf numFmtId="168" fontId="174" fillId="48" borderId="76" xfId="700" applyNumberFormat="1" applyFont="1" applyFill="1" applyBorder="1" applyAlignment="1" applyProtection="1">
      <alignment horizontal="left"/>
      <protection locked="0"/>
    </xf>
    <xf numFmtId="0" fontId="166" fillId="45" borderId="98" xfId="8733" applyFont="1" applyFill="1" applyBorder="1" applyAlignment="1">
      <alignment horizontal="center"/>
    </xf>
    <xf numFmtId="0" fontId="166" fillId="45" borderId="13" xfId="8733" applyFont="1" applyFill="1" applyBorder="1" applyAlignment="1">
      <alignment horizontal="center"/>
    </xf>
    <xf numFmtId="0" fontId="172" fillId="48" borderId="72" xfId="8733" applyFont="1" applyFill="1" applyBorder="1" applyAlignment="1" applyProtection="1">
      <alignment horizontal="right"/>
      <protection locked="0"/>
    </xf>
    <xf numFmtId="0" fontId="172" fillId="48" borderId="11" xfId="8733" applyFont="1" applyFill="1" applyBorder="1" applyAlignment="1" applyProtection="1">
      <alignment horizontal="right"/>
      <protection locked="0"/>
    </xf>
    <xf numFmtId="0" fontId="166" fillId="45" borderId="89" xfId="8733" applyFont="1" applyFill="1" applyBorder="1" applyAlignment="1">
      <alignment horizontal="right"/>
    </xf>
    <xf numFmtId="0" fontId="166" fillId="45" borderId="43" xfId="8733" applyFont="1" applyFill="1" applyBorder="1" applyAlignment="1">
      <alignment horizontal="right"/>
    </xf>
    <xf numFmtId="168" fontId="166" fillId="45" borderId="43" xfId="8733" applyNumberFormat="1" applyFont="1" applyFill="1" applyBorder="1" applyAlignment="1">
      <alignment horizontal="left"/>
    </xf>
    <xf numFmtId="168" fontId="166" fillId="45" borderId="88" xfId="8733" applyNumberFormat="1" applyFont="1" applyFill="1" applyBorder="1" applyAlignment="1">
      <alignment horizontal="left"/>
    </xf>
    <xf numFmtId="0" fontId="172" fillId="48" borderId="68" xfId="8733" applyFont="1" applyFill="1" applyBorder="1" applyAlignment="1" applyProtection="1">
      <alignment horizontal="left"/>
      <protection locked="0"/>
    </xf>
    <xf numFmtId="0" fontId="172" fillId="48" borderId="71" xfId="8733" applyFont="1" applyFill="1" applyBorder="1" applyAlignment="1" applyProtection="1">
      <alignment horizontal="left"/>
      <protection locked="0"/>
    </xf>
    <xf numFmtId="0" fontId="166" fillId="45" borderId="69" xfId="8733" applyFont="1" applyFill="1" applyBorder="1" applyAlignment="1">
      <alignment horizontal="center"/>
    </xf>
    <xf numFmtId="0" fontId="166" fillId="45" borderId="70" xfId="8733" applyFont="1" applyFill="1" applyBorder="1" applyAlignment="1">
      <alignment horizontal="center"/>
    </xf>
    <xf numFmtId="0" fontId="172" fillId="48" borderId="70" xfId="8733" applyFont="1" applyFill="1" applyBorder="1" applyAlignment="1" applyProtection="1">
      <alignment horizontal="left"/>
      <protection locked="0"/>
    </xf>
    <xf numFmtId="0" fontId="172" fillId="48" borderId="77" xfId="8733" applyFont="1" applyFill="1" applyBorder="1" applyAlignment="1" applyProtection="1">
      <alignment horizontal="left"/>
      <protection locked="0"/>
    </xf>
    <xf numFmtId="0" fontId="169" fillId="48" borderId="74" xfId="8733" applyFont="1" applyFill="1" applyBorder="1" applyAlignment="1" applyProtection="1">
      <alignment horizontal="left"/>
      <protection locked="0"/>
    </xf>
    <xf numFmtId="0" fontId="166" fillId="45" borderId="72" xfId="8733" applyFont="1" applyFill="1" applyBorder="1" applyAlignment="1">
      <alignment horizontal="center"/>
    </xf>
    <xf numFmtId="0" fontId="166" fillId="45" borderId="11" xfId="8733" applyFont="1" applyFill="1" applyBorder="1" applyAlignment="1">
      <alignment horizontal="center"/>
    </xf>
    <xf numFmtId="0" fontId="166" fillId="45" borderId="3" xfId="8733" applyFont="1" applyFill="1" applyBorder="1" applyAlignment="1">
      <alignment horizontal="center"/>
    </xf>
    <xf numFmtId="0" fontId="166" fillId="45" borderId="4" xfId="8733" applyFont="1" applyFill="1" applyBorder="1" applyAlignment="1">
      <alignment horizontal="center"/>
    </xf>
    <xf numFmtId="0" fontId="166" fillId="45" borderId="81" xfId="8733" applyFont="1" applyFill="1" applyBorder="1" applyAlignment="1">
      <alignment horizontal="center"/>
    </xf>
    <xf numFmtId="0" fontId="102" fillId="45" borderId="69" xfId="8733" applyFont="1" applyFill="1" applyBorder="1" applyAlignment="1">
      <alignment horizontal="center"/>
    </xf>
    <xf numFmtId="0" fontId="102" fillId="45" borderId="70" xfId="8733" applyFont="1" applyFill="1" applyBorder="1" applyAlignment="1">
      <alignment horizontal="center"/>
    </xf>
    <xf numFmtId="0" fontId="172" fillId="44" borderId="72" xfId="8733" applyFont="1" applyFill="1" applyBorder="1" applyAlignment="1" applyProtection="1">
      <alignment horizontal="right"/>
      <protection locked="0"/>
    </xf>
    <xf numFmtId="0" fontId="172" fillId="44" borderId="11" xfId="8733" applyFont="1" applyFill="1" applyBorder="1" applyAlignment="1" applyProtection="1">
      <alignment horizontal="right"/>
      <protection locked="0"/>
    </xf>
    <xf numFmtId="0" fontId="172" fillId="44" borderId="76" xfId="8733" applyFont="1" applyFill="1" applyBorder="1" applyAlignment="1" applyProtection="1">
      <alignment horizontal="right"/>
      <protection locked="0"/>
    </xf>
    <xf numFmtId="0" fontId="172" fillId="48" borderId="5" xfId="8733" applyFont="1" applyFill="1" applyBorder="1" applyAlignment="1" applyProtection="1">
      <alignment horizontal="left"/>
      <protection locked="0"/>
    </xf>
    <xf numFmtId="0" fontId="172" fillId="44" borderId="69" xfId="8733" applyFont="1" applyFill="1" applyBorder="1" applyAlignment="1" applyProtection="1">
      <alignment horizontal="right"/>
      <protection locked="0"/>
    </xf>
    <xf numFmtId="0" fontId="172" fillId="44" borderId="70" xfId="8733" applyFont="1" applyFill="1" applyBorder="1" applyAlignment="1" applyProtection="1">
      <alignment horizontal="right"/>
      <protection locked="0"/>
    </xf>
    <xf numFmtId="0" fontId="172" fillId="44" borderId="77" xfId="8733" applyFont="1" applyFill="1" applyBorder="1" applyAlignment="1" applyProtection="1">
      <alignment horizontal="right"/>
      <protection locked="0"/>
    </xf>
    <xf numFmtId="0" fontId="172" fillId="48" borderId="95" xfId="8733" applyFont="1" applyFill="1" applyBorder="1" applyAlignment="1" applyProtection="1">
      <alignment horizontal="left"/>
      <protection locked="0"/>
    </xf>
    <xf numFmtId="0" fontId="166" fillId="45" borderId="65" xfId="8733" applyFont="1" applyFill="1" applyBorder="1" applyAlignment="1">
      <alignment horizontal="center"/>
    </xf>
    <xf numFmtId="0" fontId="166" fillId="45" borderId="29" xfId="8733" applyFont="1" applyFill="1" applyBorder="1" applyAlignment="1">
      <alignment horizontal="center"/>
    </xf>
    <xf numFmtId="0" fontId="166" fillId="45" borderId="31" xfId="8733" applyFont="1" applyFill="1" applyBorder="1" applyAlignment="1">
      <alignment horizontal="center"/>
    </xf>
    <xf numFmtId="168" fontId="172" fillId="48" borderId="11" xfId="8734" applyNumberFormat="1" applyFont="1" applyFill="1" applyBorder="1" applyAlignment="1" applyProtection="1">
      <alignment horizontal="center"/>
      <protection locked="0"/>
    </xf>
    <xf numFmtId="1" fontId="172" fillId="48" borderId="11" xfId="8733" applyNumberFormat="1" applyFont="1" applyFill="1" applyBorder="1" applyAlignment="1" applyProtection="1">
      <alignment horizontal="center"/>
      <protection locked="0"/>
    </xf>
    <xf numFmtId="0" fontId="172" fillId="48" borderId="11" xfId="700" applyNumberFormat="1" applyFont="1" applyFill="1" applyBorder="1" applyAlignment="1" applyProtection="1">
      <alignment horizontal="left"/>
      <protection locked="0"/>
    </xf>
    <xf numFmtId="0" fontId="172" fillId="48" borderId="76" xfId="700" applyNumberFormat="1" applyFont="1" applyFill="1" applyBorder="1" applyAlignment="1" applyProtection="1">
      <alignment horizontal="left"/>
      <protection locked="0"/>
    </xf>
    <xf numFmtId="168" fontId="173" fillId="45" borderId="70" xfId="8734" applyNumberFormat="1" applyFont="1" applyFill="1" applyBorder="1" applyAlignment="1">
      <alignment horizontal="center"/>
    </xf>
    <xf numFmtId="1" fontId="173" fillId="45" borderId="70" xfId="8734" applyNumberFormat="1" applyFont="1" applyFill="1" applyBorder="1" applyAlignment="1">
      <alignment horizontal="center"/>
    </xf>
    <xf numFmtId="0" fontId="173" fillId="45" borderId="70" xfId="8734" applyNumberFormat="1" applyFont="1" applyFill="1" applyBorder="1" applyAlignment="1">
      <alignment horizontal="center"/>
    </xf>
    <xf numFmtId="0" fontId="173" fillId="45" borderId="77" xfId="8734" applyNumberFormat="1" applyFont="1" applyFill="1" applyBorder="1" applyAlignment="1">
      <alignment horizontal="center"/>
    </xf>
    <xf numFmtId="0" fontId="165" fillId="45" borderId="11" xfId="8733" applyFont="1" applyFill="1" applyBorder="1" applyAlignment="1">
      <alignment horizontal="center" vertical="center" wrapText="1"/>
    </xf>
    <xf numFmtId="0" fontId="165" fillId="45" borderId="76" xfId="8733" applyFont="1" applyFill="1" applyBorder="1" applyAlignment="1">
      <alignment horizontal="center" vertical="center" wrapText="1"/>
    </xf>
    <xf numFmtId="1" fontId="177" fillId="48" borderId="70" xfId="8733" applyNumberFormat="1" applyFont="1" applyFill="1" applyBorder="1" applyAlignment="1" applyProtection="1">
      <alignment horizontal="center"/>
      <protection locked="0"/>
    </xf>
    <xf numFmtId="1" fontId="177" fillId="48" borderId="94" xfId="8733" applyNumberFormat="1" applyFont="1" applyFill="1" applyBorder="1" applyAlignment="1" applyProtection="1">
      <alignment horizontal="center"/>
      <protection locked="0"/>
    </xf>
    <xf numFmtId="1" fontId="177" fillId="48" borderId="86" xfId="8733" applyNumberFormat="1" applyFont="1" applyFill="1" applyBorder="1" applyAlignment="1" applyProtection="1">
      <alignment horizontal="center"/>
      <protection locked="0"/>
    </xf>
    <xf numFmtId="1" fontId="177" fillId="48" borderId="95" xfId="8733" applyNumberFormat="1" applyFont="1" applyFill="1" applyBorder="1" applyAlignment="1" applyProtection="1">
      <alignment horizontal="center"/>
      <protection locked="0"/>
    </xf>
    <xf numFmtId="1" fontId="177" fillId="48" borderId="3" xfId="8733" applyNumberFormat="1" applyFont="1" applyFill="1" applyBorder="1" applyAlignment="1" applyProtection="1">
      <alignment horizontal="center"/>
      <protection locked="0"/>
    </xf>
    <xf numFmtId="1" fontId="177" fillId="48" borderId="4" xfId="8733" applyNumberFormat="1" applyFont="1" applyFill="1" applyBorder="1" applyAlignment="1" applyProtection="1">
      <alignment horizontal="center"/>
      <protection locked="0"/>
    </xf>
    <xf numFmtId="1" fontId="177" fillId="48" borderId="5" xfId="8733" applyNumberFormat="1" applyFont="1" applyFill="1" applyBorder="1" applyAlignment="1" applyProtection="1">
      <alignment horizontal="center"/>
      <protection locked="0"/>
    </xf>
    <xf numFmtId="1" fontId="165" fillId="44" borderId="3" xfId="8733" applyNumberFormat="1" applyFont="1" applyFill="1" applyBorder="1" applyAlignment="1">
      <alignment horizontal="center"/>
    </xf>
    <xf numFmtId="1" fontId="165" fillId="44" borderId="4" xfId="8733" applyNumberFormat="1" applyFont="1" applyFill="1" applyBorder="1" applyAlignment="1">
      <alignment horizontal="center"/>
    </xf>
    <xf numFmtId="1" fontId="165" fillId="44" borderId="5" xfId="8733" applyNumberFormat="1" applyFont="1" applyFill="1" applyBorder="1" applyAlignment="1">
      <alignment horizontal="center"/>
    </xf>
    <xf numFmtId="9" fontId="165" fillId="44" borderId="3" xfId="8735" applyFont="1" applyFill="1" applyBorder="1" applyAlignment="1">
      <alignment horizontal="center"/>
    </xf>
    <xf numFmtId="9" fontId="165" fillId="44" borderId="4" xfId="8735" applyFont="1" applyFill="1" applyBorder="1" applyAlignment="1">
      <alignment horizontal="center"/>
    </xf>
    <xf numFmtId="9" fontId="165" fillId="44" borderId="81" xfId="8735" applyFont="1" applyFill="1" applyBorder="1" applyAlignment="1">
      <alignment horizontal="center"/>
    </xf>
    <xf numFmtId="0" fontId="172" fillId="48" borderId="69" xfId="8733" applyFont="1" applyFill="1" applyBorder="1" applyAlignment="1" applyProtection="1">
      <alignment horizontal="right"/>
      <protection locked="0"/>
    </xf>
    <xf numFmtId="0" fontId="172" fillId="48" borderId="70" xfId="8733" applyFont="1" applyFill="1" applyBorder="1" applyAlignment="1" applyProtection="1">
      <alignment horizontal="right"/>
      <protection locked="0"/>
    </xf>
    <xf numFmtId="0" fontId="177" fillId="48" borderId="70" xfId="8733" applyFont="1" applyFill="1" applyBorder="1" applyAlignment="1" applyProtection="1">
      <alignment horizontal="center"/>
      <protection locked="0"/>
    </xf>
    <xf numFmtId="9" fontId="165" fillId="44" borderId="94" xfId="8735" applyFont="1" applyFill="1" applyBorder="1" applyAlignment="1">
      <alignment horizontal="center"/>
    </xf>
    <xf numFmtId="9" fontId="165" fillId="44" borderId="86" xfId="8735" applyFont="1" applyFill="1" applyBorder="1" applyAlignment="1">
      <alignment horizontal="center"/>
    </xf>
    <xf numFmtId="9" fontId="165" fillId="44" borderId="85" xfId="8735" applyFont="1" applyFill="1" applyBorder="1" applyAlignment="1">
      <alignment horizontal="center"/>
    </xf>
    <xf numFmtId="0" fontId="177" fillId="48" borderId="11" xfId="8733" applyFont="1" applyFill="1" applyBorder="1" applyAlignment="1" applyProtection="1">
      <alignment horizontal="center"/>
      <protection locked="0"/>
    </xf>
    <xf numFmtId="1" fontId="177" fillId="48" borderId="11" xfId="8733" applyNumberFormat="1" applyFont="1" applyFill="1" applyBorder="1" applyAlignment="1" applyProtection="1">
      <alignment horizontal="center"/>
      <protection locked="0"/>
    </xf>
    <xf numFmtId="0" fontId="173" fillId="44" borderId="101" xfId="8733" applyFont="1" applyFill="1" applyBorder="1" applyAlignment="1">
      <alignment horizontal="center"/>
    </xf>
    <xf numFmtId="0" fontId="173" fillId="44" borderId="42" xfId="8733" applyFont="1" applyFill="1" applyBorder="1" applyAlignment="1">
      <alignment horizontal="center"/>
    </xf>
    <xf numFmtId="0" fontId="173" fillId="44" borderId="96" xfId="8733" applyFont="1" applyFill="1" applyBorder="1" applyAlignment="1">
      <alignment horizontal="center"/>
    </xf>
    <xf numFmtId="9" fontId="173" fillId="44" borderId="101" xfId="1022" applyFont="1" applyFill="1" applyBorder="1" applyAlignment="1">
      <alignment horizontal="center"/>
    </xf>
    <xf numFmtId="9" fontId="173" fillId="44" borderId="42" xfId="1022" applyFont="1" applyFill="1" applyBorder="1" applyAlignment="1">
      <alignment horizontal="center"/>
    </xf>
    <xf numFmtId="9" fontId="173" fillId="44" borderId="44" xfId="1022" applyFont="1" applyFill="1" applyBorder="1" applyAlignment="1">
      <alignment horizontal="center"/>
    </xf>
    <xf numFmtId="0" fontId="166" fillId="45" borderId="80" xfId="8733" applyFont="1" applyFill="1" applyBorder="1" applyAlignment="1">
      <alignment horizontal="center"/>
    </xf>
    <xf numFmtId="0" fontId="166" fillId="45" borderId="79" xfId="8733" applyFont="1" applyFill="1" applyBorder="1" applyAlignment="1">
      <alignment horizontal="center"/>
    </xf>
    <xf numFmtId="0" fontId="166" fillId="45" borderId="78" xfId="8733" applyFont="1" applyFill="1" applyBorder="1" applyAlignment="1">
      <alignment horizontal="center"/>
    </xf>
    <xf numFmtId="0" fontId="165" fillId="45" borderId="98" xfId="8733" applyFont="1" applyFill="1" applyBorder="1" applyAlignment="1">
      <alignment horizontal="center" vertical="center" wrapText="1"/>
    </xf>
    <xf numFmtId="0" fontId="165" fillId="45" borderId="13" xfId="8733" applyFont="1" applyFill="1" applyBorder="1" applyAlignment="1">
      <alignment horizontal="center" vertical="center"/>
    </xf>
    <xf numFmtId="0" fontId="165" fillId="45" borderId="72" xfId="8733" applyFont="1" applyFill="1" applyBorder="1" applyAlignment="1">
      <alignment horizontal="center" vertical="center"/>
    </xf>
    <xf numFmtId="0" fontId="165" fillId="45" borderId="11" xfId="8733" applyFont="1" applyFill="1" applyBorder="1" applyAlignment="1">
      <alignment horizontal="center" vertical="center"/>
    </xf>
    <xf numFmtId="0" fontId="173" fillId="45" borderId="13" xfId="8733" applyFont="1" applyFill="1" applyBorder="1" applyAlignment="1">
      <alignment horizontal="center" vertical="center" wrapText="1"/>
    </xf>
    <xf numFmtId="0" fontId="173" fillId="45" borderId="13" xfId="8733" applyFont="1" applyFill="1" applyBorder="1" applyAlignment="1">
      <alignment horizontal="center" vertical="center"/>
    </xf>
    <xf numFmtId="0" fontId="173" fillId="45" borderId="11" xfId="8733" applyFont="1" applyFill="1" applyBorder="1" applyAlignment="1">
      <alignment horizontal="center" vertical="center"/>
    </xf>
    <xf numFmtId="0" fontId="173" fillId="45" borderId="9" xfId="8733" applyFont="1" applyFill="1" applyBorder="1" applyAlignment="1">
      <alignment horizontal="center" vertical="center"/>
    </xf>
    <xf numFmtId="0" fontId="173" fillId="45" borderId="3" xfId="8733" applyFont="1" applyFill="1" applyBorder="1" applyAlignment="1">
      <alignment horizontal="center" vertic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5" fillId="45" borderId="65" xfId="8733" applyFont="1" applyFill="1" applyBorder="1" applyAlignment="1">
      <alignment horizontal="center" vertical="center" wrapText="1"/>
    </xf>
    <xf numFmtId="0" fontId="165" fillId="45" borderId="29" xfId="8733" applyFont="1" applyFill="1" applyBorder="1" applyAlignment="1">
      <alignment horizontal="center" vertical="center" wrapText="1"/>
    </xf>
    <xf numFmtId="0" fontId="165" fillId="45" borderId="31" xfId="8733" applyFont="1" applyFill="1" applyBorder="1" applyAlignment="1">
      <alignment horizontal="center" vertical="center" wrapText="1"/>
    </xf>
    <xf numFmtId="0" fontId="165" fillId="45" borderId="73" xfId="8733" applyFont="1" applyFill="1" applyBorder="1" applyAlignment="1">
      <alignment horizontal="center" vertical="center" wrapText="1"/>
    </xf>
    <xf numFmtId="0" fontId="165" fillId="45" borderId="42" xfId="8733" applyFont="1" applyFill="1" applyBorder="1" applyAlignment="1">
      <alignment horizontal="center" vertical="center" wrapText="1"/>
    </xf>
    <xf numFmtId="0" fontId="165" fillId="45" borderId="44" xfId="8733" applyFont="1" applyFill="1" applyBorder="1" applyAlignment="1">
      <alignment horizontal="center" vertical="center" wrapText="1"/>
    </xf>
    <xf numFmtId="9" fontId="173" fillId="48" borderId="13" xfId="8733" applyNumberFormat="1" applyFont="1" applyFill="1" applyBorder="1" applyAlignment="1" applyProtection="1">
      <alignment horizontal="center"/>
      <protection locked="0"/>
    </xf>
    <xf numFmtId="0" fontId="173" fillId="44" borderId="73" xfId="8733" applyFont="1" applyFill="1" applyBorder="1" applyAlignment="1">
      <alignment horizontal="center"/>
    </xf>
    <xf numFmtId="0" fontId="165" fillId="44" borderId="9" xfId="8733" applyFont="1" applyFill="1" applyBorder="1" applyAlignment="1">
      <alignment horizontal="center"/>
    </xf>
    <xf numFmtId="0" fontId="165" fillId="44" borderId="6" xfId="8733" applyFont="1" applyFill="1" applyBorder="1" applyAlignment="1">
      <alignment horizontal="center"/>
    </xf>
    <xf numFmtId="0" fontId="165" fillId="44" borderId="82" xfId="8733" applyFont="1" applyFill="1" applyBorder="1" applyAlignment="1">
      <alignment horizontal="center"/>
    </xf>
    <xf numFmtId="9" fontId="173" fillId="48" borderId="9" xfId="8733" applyNumberFormat="1" applyFont="1" applyFill="1" applyBorder="1" applyAlignment="1" applyProtection="1">
      <alignment horizontal="center"/>
      <protection locked="0"/>
    </xf>
    <xf numFmtId="9" fontId="173" fillId="48" borderId="6" xfId="8733" applyNumberFormat="1" applyFont="1" applyFill="1" applyBorder="1" applyAlignment="1" applyProtection="1">
      <alignment horizontal="center"/>
      <protection locked="0"/>
    </xf>
    <xf numFmtId="9" fontId="173" fillId="48" borderId="10" xfId="8733" applyNumberFormat="1" applyFont="1" applyFill="1" applyBorder="1" applyAlignment="1" applyProtection="1">
      <alignment horizontal="center"/>
      <protection locked="0"/>
    </xf>
    <xf numFmtId="9" fontId="165" fillId="48" borderId="9" xfId="8733" applyNumberFormat="1" applyFont="1" applyFill="1" applyBorder="1" applyAlignment="1" applyProtection="1">
      <alignment horizontal="center"/>
      <protection locked="0"/>
    </xf>
    <xf numFmtId="9" fontId="165" fillId="48" borderId="6" xfId="8733" applyNumberFormat="1" applyFont="1" applyFill="1" applyBorder="1" applyAlignment="1" applyProtection="1">
      <alignment horizontal="center"/>
      <protection locked="0"/>
    </xf>
    <xf numFmtId="9" fontId="165" fillId="48" borderId="10" xfId="8733" applyNumberFormat="1" applyFont="1" applyFill="1" applyBorder="1" applyAlignment="1" applyProtection="1">
      <alignment horizontal="center"/>
      <protection locked="0"/>
    </xf>
    <xf numFmtId="0" fontId="165" fillId="44" borderId="10" xfId="8733" applyFont="1" applyFill="1" applyBorder="1" applyAlignment="1">
      <alignment horizontal="center"/>
    </xf>
    <xf numFmtId="0" fontId="172" fillId="48" borderId="3" xfId="8733" applyFont="1" applyFill="1" applyBorder="1" applyAlignment="1" applyProtection="1">
      <alignment horizontal="center"/>
      <protection locked="0"/>
    </xf>
    <xf numFmtId="0" fontId="172" fillId="48" borderId="4" xfId="8733" applyFont="1" applyFill="1" applyBorder="1" applyAlignment="1" applyProtection="1">
      <alignment horizontal="center"/>
      <protection locked="0"/>
    </xf>
    <xf numFmtId="0" fontId="172" fillId="48" borderId="5" xfId="8733" applyFont="1" applyFill="1" applyBorder="1" applyAlignment="1" applyProtection="1">
      <alignment horizontal="center"/>
      <protection locked="0"/>
    </xf>
    <xf numFmtId="9" fontId="173" fillId="44" borderId="3" xfId="8733" applyNumberFormat="1" applyFont="1" applyFill="1" applyBorder="1" applyAlignment="1">
      <alignment horizontal="center"/>
    </xf>
    <xf numFmtId="9" fontId="173" fillId="44" borderId="4" xfId="8733" applyNumberFormat="1" applyFont="1" applyFill="1" applyBorder="1" applyAlignment="1">
      <alignment horizontal="center"/>
    </xf>
    <xf numFmtId="9" fontId="173" fillId="44" borderId="81" xfId="8733" applyNumberFormat="1" applyFont="1" applyFill="1" applyBorder="1" applyAlignment="1">
      <alignment horizontal="center"/>
    </xf>
    <xf numFmtId="0" fontId="173" fillId="44" borderId="87" xfId="8733" applyFont="1" applyFill="1" applyBorder="1" applyAlignment="1">
      <alignment horizontal="center"/>
    </xf>
    <xf numFmtId="0" fontId="173" fillId="44" borderId="86" xfId="8733" applyFont="1" applyFill="1" applyBorder="1" applyAlignment="1">
      <alignment horizontal="center"/>
    </xf>
    <xf numFmtId="0" fontId="173" fillId="44" borderId="95" xfId="8733" applyFont="1" applyFill="1" applyBorder="1" applyAlignment="1">
      <alignment horizontal="center"/>
    </xf>
    <xf numFmtId="0" fontId="172" fillId="44" borderId="94"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9" fontId="173" fillId="44" borderId="94" xfId="8733" applyNumberFormat="1" applyFont="1" applyFill="1" applyBorder="1" applyAlignment="1">
      <alignment horizontal="center"/>
    </xf>
    <xf numFmtId="9" fontId="173" fillId="44" borderId="86" xfId="8733" applyNumberFormat="1" applyFont="1" applyFill="1" applyBorder="1" applyAlignment="1">
      <alignment horizontal="center"/>
    </xf>
    <xf numFmtId="9" fontId="173" fillId="44" borderId="85" xfId="8733" applyNumberFormat="1" applyFont="1" applyFill="1" applyBorder="1" applyAlignment="1">
      <alignment horizontal="center"/>
    </xf>
    <xf numFmtId="9" fontId="172" fillId="48" borderId="90" xfId="8733" applyNumberFormat="1" applyFont="1" applyFill="1" applyBorder="1" applyAlignment="1" applyProtection="1">
      <alignment horizontal="center"/>
      <protection locked="0"/>
    </xf>
    <xf numFmtId="9" fontId="172" fillId="48" borderId="4" xfId="8733" applyNumberFormat="1" applyFont="1" applyFill="1" applyBorder="1" applyAlignment="1" applyProtection="1">
      <alignment horizontal="center"/>
      <protection locked="0"/>
    </xf>
    <xf numFmtId="9" fontId="172" fillId="48" borderId="5" xfId="8733" applyNumberFormat="1" applyFont="1" applyFill="1" applyBorder="1" applyAlignment="1" applyProtection="1">
      <alignment horizontal="center"/>
      <protection locked="0"/>
    </xf>
    <xf numFmtId="0" fontId="172" fillId="44" borderId="3" xfId="8733" applyFont="1" applyFill="1" applyBorder="1" applyAlignment="1">
      <alignment horizontal="center"/>
    </xf>
    <xf numFmtId="0" fontId="172" fillId="44" borderId="4" xfId="8733" applyFont="1" applyFill="1" applyBorder="1" applyAlignment="1">
      <alignment horizontal="center"/>
    </xf>
    <xf numFmtId="0" fontId="172" fillId="44" borderId="5" xfId="8733" applyFont="1" applyFill="1" applyBorder="1" applyAlignment="1">
      <alignment horizontal="center"/>
    </xf>
    <xf numFmtId="0" fontId="102" fillId="45" borderId="80" xfId="8733" applyFont="1" applyFill="1" applyBorder="1" applyAlignment="1">
      <alignment horizontal="right"/>
    </xf>
    <xf numFmtId="0" fontId="102" fillId="45" borderId="79" xfId="8733" applyFont="1" applyFill="1" applyBorder="1" applyAlignment="1">
      <alignment horizontal="right"/>
    </xf>
    <xf numFmtId="0" fontId="102" fillId="45" borderId="103" xfId="8733" applyFont="1" applyFill="1" applyBorder="1" applyAlignment="1">
      <alignment horizontal="right"/>
    </xf>
    <xf numFmtId="0" fontId="2" fillId="44" borderId="84" xfId="8733" applyFill="1" applyBorder="1" applyAlignment="1">
      <alignment horizontal="center"/>
    </xf>
    <xf numFmtId="0" fontId="2" fillId="44" borderId="102" xfId="8733" applyFill="1" applyBorder="1" applyAlignment="1">
      <alignment horizontal="center"/>
    </xf>
    <xf numFmtId="0" fontId="173" fillId="45" borderId="11" xfId="8733" applyFont="1" applyFill="1" applyBorder="1" applyAlignment="1">
      <alignment horizontal="right"/>
    </xf>
    <xf numFmtId="14" fontId="169" fillId="48" borderId="11" xfId="8733" applyNumberFormat="1" applyFont="1" applyFill="1" applyBorder="1" applyAlignment="1" applyProtection="1">
      <alignment horizontal="center" vertical="center"/>
      <protection locked="0"/>
    </xf>
    <xf numFmtId="0" fontId="169" fillId="48" borderId="11" xfId="8733" applyFont="1" applyFill="1" applyBorder="1" applyAlignment="1" applyProtection="1">
      <alignment horizontal="center" vertical="center"/>
      <protection locked="0"/>
    </xf>
    <xf numFmtId="0" fontId="173" fillId="45" borderId="97" xfId="8733" applyFont="1" applyFill="1" applyBorder="1" applyAlignment="1">
      <alignment horizontal="center"/>
    </xf>
    <xf numFmtId="0" fontId="173" fillId="45" borderId="2" xfId="8733" applyFont="1" applyFill="1" applyBorder="1" applyAlignment="1">
      <alignment horizontal="center"/>
    </xf>
    <xf numFmtId="0" fontId="173" fillId="45" borderId="7" xfId="8733" applyFont="1" applyFill="1" applyBorder="1" applyAlignment="1">
      <alignment horizontal="center"/>
    </xf>
    <xf numFmtId="0" fontId="173" fillId="45" borderId="3" xfId="8733" applyFont="1" applyFill="1" applyBorder="1" applyAlignment="1">
      <alignment horizontal="center"/>
    </xf>
    <xf numFmtId="0" fontId="173" fillId="45" borderId="4" xfId="8733" applyFont="1" applyFill="1" applyBorder="1" applyAlignment="1">
      <alignment horizontal="center"/>
    </xf>
    <xf numFmtId="0" fontId="173" fillId="45" borderId="5" xfId="8733" applyFont="1" applyFill="1" applyBorder="1" applyAlignment="1">
      <alignment horizontal="center"/>
    </xf>
    <xf numFmtId="0" fontId="173" fillId="45" borderId="81" xfId="8733" applyFont="1" applyFill="1" applyBorder="1" applyAlignment="1">
      <alignment horizontal="center"/>
    </xf>
    <xf numFmtId="0" fontId="102" fillId="45" borderId="80" xfId="8733" applyFont="1" applyFill="1" applyBorder="1" applyAlignment="1">
      <alignment horizontal="center"/>
    </xf>
    <xf numFmtId="0" fontId="102" fillId="45" borderId="79" xfId="8733" applyFont="1" applyFill="1" applyBorder="1" applyAlignment="1">
      <alignment horizontal="center"/>
    </xf>
    <xf numFmtId="0" fontId="102" fillId="45" borderId="78" xfId="8733" applyFont="1" applyFill="1" applyBorder="1" applyAlignment="1">
      <alignment horizontal="center"/>
    </xf>
    <xf numFmtId="0" fontId="169" fillId="48" borderId="80" xfId="8733" applyFont="1" applyFill="1" applyBorder="1" applyAlignment="1" applyProtection="1">
      <alignment horizontal="center"/>
      <protection locked="0"/>
    </xf>
    <xf numFmtId="0" fontId="169" fillId="48" borderId="79" xfId="8733" applyFont="1" applyFill="1" applyBorder="1" applyAlignment="1" applyProtection="1">
      <alignment horizontal="center"/>
      <protection locked="0"/>
    </xf>
    <xf numFmtId="0" fontId="169" fillId="48" borderId="78" xfId="8733" applyFont="1" applyFill="1" applyBorder="1" applyAlignment="1" applyProtection="1">
      <alignment horizontal="center"/>
      <protection locked="0"/>
    </xf>
    <xf numFmtId="1" fontId="2" fillId="44" borderId="11" xfId="8733" applyNumberFormat="1" applyFill="1" applyBorder="1" applyAlignment="1">
      <alignment horizontal="center"/>
    </xf>
    <xf numFmtId="0" fontId="2" fillId="44" borderId="11" xfId="8733" applyFill="1" applyBorder="1" applyAlignment="1">
      <alignment horizontal="center"/>
    </xf>
    <xf numFmtId="0" fontId="170" fillId="45" borderId="11" xfId="8733" applyFont="1" applyFill="1" applyBorder="1" applyAlignment="1">
      <alignment horizontal="right" wrapText="1"/>
    </xf>
    <xf numFmtId="0" fontId="176" fillId="45" borderId="11" xfId="8733" applyFont="1" applyFill="1" applyBorder="1" applyAlignment="1">
      <alignment horizontal="right"/>
    </xf>
    <xf numFmtId="14" fontId="169" fillId="48" borderId="11" xfId="8733" applyNumberFormat="1" applyFont="1" applyFill="1" applyBorder="1" applyAlignment="1" applyProtection="1">
      <alignment horizontal="center"/>
      <protection locked="0"/>
    </xf>
    <xf numFmtId="0" fontId="169" fillId="48" borderId="11" xfId="8733" applyFont="1" applyFill="1" applyBorder="1" applyAlignment="1" applyProtection="1">
      <alignment horizontal="center"/>
      <protection locked="0"/>
    </xf>
    <xf numFmtId="168" fontId="174" fillId="44" borderId="11" xfId="8734" applyNumberFormat="1" applyFont="1" applyFill="1" applyBorder="1" applyAlignment="1" applyProtection="1">
      <alignment horizontal="left"/>
    </xf>
    <xf numFmtId="0" fontId="169" fillId="44" borderId="80" xfId="8733" applyFont="1" applyFill="1" applyBorder="1" applyAlignment="1">
      <alignment horizontal="left"/>
    </xf>
    <xf numFmtId="0" fontId="169" fillId="44" borderId="79" xfId="8733" applyFont="1" applyFill="1" applyBorder="1" applyAlignment="1">
      <alignment horizontal="left"/>
    </xf>
    <xf numFmtId="0" fontId="169" fillId="44" borderId="78" xfId="8733" applyFont="1" applyFill="1" applyBorder="1" applyAlignment="1">
      <alignment horizontal="left"/>
    </xf>
    <xf numFmtId="0" fontId="170" fillId="45" borderId="11" xfId="8733" applyFont="1" applyFill="1" applyBorder="1" applyAlignment="1">
      <alignment horizontal="right"/>
    </xf>
    <xf numFmtId="1" fontId="169" fillId="48" borderId="11" xfId="8733" applyNumberFormat="1" applyFont="1" applyFill="1" applyBorder="1" applyAlignment="1" applyProtection="1">
      <alignment horizontal="center"/>
      <protection locked="0"/>
    </xf>
    <xf numFmtId="0" fontId="2" fillId="44" borderId="80" xfId="8733" applyFill="1" applyBorder="1" applyAlignment="1">
      <alignment horizontal="center"/>
    </xf>
    <xf numFmtId="0" fontId="2" fillId="44" borderId="79" xfId="8733" applyFill="1" applyBorder="1" applyAlignment="1">
      <alignment horizontal="center"/>
    </xf>
    <xf numFmtId="0" fontId="2" fillId="44" borderId="78" xfId="8733" applyFill="1" applyBorder="1" applyAlignment="1">
      <alignment horizontal="center"/>
    </xf>
    <xf numFmtId="0" fontId="181" fillId="51" borderId="65" xfId="8733" applyFont="1" applyFill="1" applyBorder="1" applyAlignment="1">
      <alignment horizontal="center"/>
    </xf>
    <xf numFmtId="0" fontId="181" fillId="51" borderId="29" xfId="8733" applyFont="1" applyFill="1" applyBorder="1" applyAlignment="1">
      <alignment horizontal="center"/>
    </xf>
    <xf numFmtId="0" fontId="181" fillId="51" borderId="31" xfId="8733" applyFont="1" applyFill="1" applyBorder="1" applyAlignment="1">
      <alignment horizontal="center"/>
    </xf>
    <xf numFmtId="0" fontId="166" fillId="48" borderId="66" xfId="8733" applyFont="1" applyFill="1" applyBorder="1" applyAlignment="1">
      <alignment horizontal="center"/>
    </xf>
    <xf numFmtId="0" fontId="166" fillId="48" borderId="0" xfId="8733" applyFont="1" applyFill="1" applyAlignment="1">
      <alignment horizontal="center"/>
    </xf>
    <xf numFmtId="0" fontId="166" fillId="48" borderId="41" xfId="8733" applyFont="1" applyFill="1" applyBorder="1" applyAlignment="1">
      <alignment horizontal="center"/>
    </xf>
    <xf numFmtId="168" fontId="17" fillId="0" borderId="11" xfId="569" applyNumberFormat="1" applyBorder="1"/>
    <xf numFmtId="168" fontId="17" fillId="0" borderId="3" xfId="569" applyNumberFormat="1" applyBorder="1"/>
    <xf numFmtId="168" fontId="17" fillId="0" borderId="4" xfId="569" applyNumberFormat="1" applyBorder="1"/>
    <xf numFmtId="168" fontId="17" fillId="0" borderId="5" xfId="569" applyNumberFormat="1" applyBorder="1"/>
    <xf numFmtId="168" fontId="17" fillId="0" borderId="11" xfId="569" applyNumberFormat="1" applyBorder="1" applyAlignment="1">
      <alignment wrapText="1"/>
    </xf>
    <xf numFmtId="168" fontId="17" fillId="0" borderId="11" xfId="569" applyNumberFormat="1" applyBorder="1" applyAlignment="1">
      <alignment horizontal="right"/>
    </xf>
    <xf numFmtId="9" fontId="17" fillId="0" borderId="15" xfId="569" applyNumberFormat="1" applyBorder="1" applyAlignment="1">
      <alignment horizontal="center"/>
    </xf>
    <xf numFmtId="168" fontId="17" fillId="0" borderId="11" xfId="569" applyNumberFormat="1" applyBorder="1" applyAlignment="1">
      <alignment horizontal="center"/>
    </xf>
    <xf numFmtId="0" fontId="17" fillId="0" borderId="11" xfId="569" applyBorder="1" applyAlignment="1">
      <alignment horizontal="center"/>
    </xf>
    <xf numFmtId="176" fontId="17" fillId="5" borderId="3" xfId="569" applyNumberFormat="1" applyFill="1" applyBorder="1" applyAlignment="1" applyProtection="1">
      <alignment horizontal="right"/>
      <protection locked="0"/>
    </xf>
    <xf numFmtId="176" fontId="17" fillId="5" borderId="4" xfId="569" applyNumberFormat="1" applyFill="1" applyBorder="1" applyAlignment="1" applyProtection="1">
      <alignment horizontal="right"/>
      <protection locked="0"/>
    </xf>
    <xf numFmtId="176" fontId="17" fillId="5" borderId="5" xfId="569" applyNumberFormat="1" applyFill="1" applyBorder="1" applyAlignment="1" applyProtection="1">
      <alignment horizontal="right"/>
      <protection locked="0"/>
    </xf>
    <xf numFmtId="0" fontId="107" fillId="0" borderId="0" xfId="0" applyFont="1" applyAlignment="1">
      <alignment horizontal="left" vertical="top" wrapText="1"/>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0" fontId="24" fillId="0" borderId="6" xfId="569" applyFont="1" applyBorder="1" applyAlignment="1">
      <alignment horizontal="center"/>
    </xf>
    <xf numFmtId="168" fontId="17" fillId="0" borderId="3" xfId="569" applyNumberFormat="1" applyBorder="1" applyAlignment="1">
      <alignment horizontal="center"/>
    </xf>
    <xf numFmtId="0" fontId="17" fillId="0" borderId="4" xfId="569" applyBorder="1" applyAlignment="1">
      <alignment horizontal="center"/>
    </xf>
    <xf numFmtId="0" fontId="17" fillId="0" borderId="5" xfId="569" applyBorder="1" applyAlignment="1">
      <alignment horizontal="center"/>
    </xf>
    <xf numFmtId="0" fontId="107" fillId="0" borderId="0" xfId="569" applyFont="1" applyAlignment="1">
      <alignment horizontal="left" wrapText="1"/>
    </xf>
    <xf numFmtId="168" fontId="17" fillId="0" borderId="3" xfId="569" applyNumberFormat="1" applyBorder="1" applyAlignment="1">
      <alignment horizontal="right"/>
    </xf>
    <xf numFmtId="168" fontId="17" fillId="0" borderId="4" xfId="569" applyNumberFormat="1" applyBorder="1" applyAlignment="1">
      <alignment horizontal="right"/>
    </xf>
    <xf numFmtId="168" fontId="17" fillId="0" borderId="5" xfId="569" applyNumberFormat="1" applyBorder="1" applyAlignment="1">
      <alignment horizontal="right"/>
    </xf>
    <xf numFmtId="0" fontId="24" fillId="0" borderId="16" xfId="271" applyFont="1" applyBorder="1" applyAlignment="1">
      <alignment horizontal="center"/>
    </xf>
    <xf numFmtId="168" fontId="17" fillId="0" borderId="4" xfId="569" applyNumberFormat="1" applyBorder="1" applyAlignment="1">
      <alignment horizontal="center"/>
    </xf>
    <xf numFmtId="168" fontId="17" fillId="0" borderId="5" xfId="569" applyNumberFormat="1" applyBorder="1" applyAlignment="1">
      <alignment horizontal="center"/>
    </xf>
    <xf numFmtId="0" fontId="24" fillId="0" borderId="11" xfId="569" applyFont="1" applyBorder="1" applyAlignment="1">
      <alignment horizontal="center" wrapText="1"/>
    </xf>
    <xf numFmtId="0" fontId="24" fillId="0" borderId="11" xfId="569" applyFont="1" applyBorder="1" applyAlignment="1">
      <alignment horizontal="center"/>
    </xf>
    <xf numFmtId="165" fontId="17" fillId="0" borderId="11" xfId="569" applyNumberFormat="1" applyBorder="1" applyAlignment="1" applyProtection="1">
      <alignment horizontal="center"/>
      <protection locked="0"/>
    </xf>
    <xf numFmtId="0" fontId="53" fillId="0" borderId="0" xfId="569" applyFont="1" applyAlignment="1">
      <alignment horizontal="left"/>
    </xf>
    <xf numFmtId="5" fontId="17" fillId="0" borderId="5" xfId="569" applyNumberFormat="1" applyBorder="1" applyAlignment="1">
      <alignment horizontal="center"/>
    </xf>
    <xf numFmtId="5" fontId="17" fillId="0" borderId="11" xfId="569" applyNumberFormat="1" applyBorder="1" applyAlignment="1">
      <alignment horizontal="center"/>
    </xf>
    <xf numFmtId="5" fontId="17" fillId="0" borderId="3" xfId="569" applyNumberFormat="1" applyBorder="1" applyAlignment="1">
      <alignment horizontal="center"/>
    </xf>
    <xf numFmtId="5" fontId="17" fillId="0" borderId="4" xfId="569" applyNumberFormat="1" applyBorder="1" applyAlignment="1">
      <alignment horizontal="center"/>
    </xf>
    <xf numFmtId="168" fontId="17" fillId="5" borderId="5" xfId="569" applyNumberFormat="1" applyFill="1" applyBorder="1" applyAlignment="1" applyProtection="1">
      <alignment horizontal="center"/>
      <protection locked="0"/>
    </xf>
    <xf numFmtId="168" fontId="17" fillId="5" borderId="11" xfId="569" applyNumberFormat="1" applyFill="1" applyBorder="1" applyAlignment="1" applyProtection="1">
      <alignment horizontal="center"/>
      <protection locked="0"/>
    </xf>
    <xf numFmtId="9" fontId="17" fillId="0" borderId="5" xfId="569" applyNumberFormat="1" applyBorder="1" applyAlignment="1">
      <alignment horizontal="center"/>
    </xf>
    <xf numFmtId="9" fontId="17" fillId="0" borderId="11" xfId="569" applyNumberFormat="1" applyBorder="1" applyAlignment="1">
      <alignment horizontal="center"/>
    </xf>
    <xf numFmtId="9" fontId="17" fillId="0" borderId="9" xfId="569" applyNumberFormat="1" applyBorder="1" applyAlignment="1">
      <alignment horizontal="center" vertical="center"/>
    </xf>
    <xf numFmtId="9" fontId="17" fillId="0" borderId="6" xfId="569" applyNumberFormat="1" applyBorder="1" applyAlignment="1">
      <alignment horizontal="center" vertical="center"/>
    </xf>
    <xf numFmtId="9" fontId="17" fillId="0" borderId="10" xfId="569" applyNumberFormat="1" applyBorder="1" applyAlignment="1">
      <alignment horizontal="center" vertical="center"/>
    </xf>
    <xf numFmtId="168" fontId="17" fillId="2" borderId="3" xfId="569" applyNumberFormat="1" applyFill="1" applyBorder="1" applyAlignment="1">
      <alignment horizontal="center"/>
    </xf>
    <xf numFmtId="168" fontId="17" fillId="2" borderId="4" xfId="569" applyNumberFormat="1" applyFill="1" applyBorder="1" applyAlignment="1">
      <alignment horizontal="center"/>
    </xf>
    <xf numFmtId="168" fontId="17" fillId="2" borderId="5" xfId="569" applyNumberFormat="1" applyFill="1" applyBorder="1" applyAlignment="1">
      <alignment horizontal="center"/>
    </xf>
    <xf numFmtId="168" fontId="17" fillId="5" borderId="10" xfId="569" applyNumberFormat="1" applyFill="1" applyBorder="1" applyAlignment="1" applyProtection="1">
      <alignment horizontal="center"/>
      <protection locked="0"/>
    </xf>
    <xf numFmtId="168" fontId="17" fillId="5" borderId="13" xfId="569" applyNumberFormat="1" applyFill="1" applyBorder="1" applyAlignment="1" applyProtection="1">
      <alignment horizontal="center"/>
      <protection locked="0"/>
    </xf>
    <xf numFmtId="0" fontId="23" fillId="3" borderId="2" xfId="569" applyFont="1" applyFill="1" applyBorder="1" applyAlignment="1">
      <alignment horizontal="center" vertical="center"/>
    </xf>
    <xf numFmtId="0" fontId="23" fillId="3" borderId="16" xfId="569" applyFont="1" applyFill="1" applyBorder="1" applyAlignment="1">
      <alignment horizontal="center" vertical="center"/>
    </xf>
    <xf numFmtId="168" fontId="17" fillId="0" borderId="7" xfId="569" applyNumberFormat="1" applyBorder="1" applyAlignment="1">
      <alignment horizontal="center"/>
    </xf>
    <xf numFmtId="168" fontId="17" fillId="0" borderId="15" xfId="569" applyNumberFormat="1" applyBorder="1" applyAlignment="1">
      <alignment horizontal="center"/>
    </xf>
    <xf numFmtId="0" fontId="24" fillId="0" borderId="3" xfId="569" applyFont="1" applyBorder="1" applyAlignment="1">
      <alignment horizontal="left"/>
    </xf>
    <xf numFmtId="0" fontId="24" fillId="0" borderId="5" xfId="569" applyFont="1" applyBorder="1" applyAlignment="1">
      <alignment horizontal="left"/>
    </xf>
    <xf numFmtId="0" fontId="25" fillId="0" borderId="4" xfId="569" applyFont="1" applyBorder="1" applyAlignment="1">
      <alignment horizontal="left"/>
    </xf>
    <xf numFmtId="0" fontId="25" fillId="0" borderId="5" xfId="569" applyFont="1" applyBorder="1" applyAlignment="1">
      <alignment horizontal="left"/>
    </xf>
    <xf numFmtId="179" fontId="24" fillId="0" borderId="0" xfId="569" applyNumberFormat="1" applyFont="1" applyAlignment="1">
      <alignment horizontal="center" wrapText="1"/>
    </xf>
    <xf numFmtId="164" fontId="24" fillId="0" borderId="0" xfId="569" applyNumberFormat="1" applyFont="1" applyAlignment="1">
      <alignment horizontal="center" wrapText="1"/>
    </xf>
    <xf numFmtId="0" fontId="17" fillId="0" borderId="3" xfId="569" applyBorder="1" applyAlignment="1">
      <alignment horizontal="right"/>
    </xf>
    <xf numFmtId="0" fontId="17" fillId="0" borderId="4" xfId="569" applyBorder="1" applyAlignment="1">
      <alignment horizontal="right"/>
    </xf>
    <xf numFmtId="0" fontId="17" fillId="0" borderId="5" xfId="569" applyBorder="1" applyAlignment="1">
      <alignment horizontal="right"/>
    </xf>
    <xf numFmtId="0" fontId="25" fillId="0" borderId="3" xfId="569" applyFont="1" applyBorder="1" applyAlignment="1">
      <alignment horizontal="right"/>
    </xf>
    <xf numFmtId="0" fontId="25" fillId="0" borderId="4" xfId="569" applyFont="1" applyBorder="1" applyAlignment="1">
      <alignment horizontal="right"/>
    </xf>
    <xf numFmtId="0" fontId="25" fillId="0" borderId="5" xfId="569" applyFont="1" applyBorder="1" applyAlignment="1">
      <alignment horizontal="right"/>
    </xf>
    <xf numFmtId="165" fontId="122" fillId="0" borderId="55" xfId="4496" applyNumberFormat="1" applyFont="1" applyBorder="1" applyAlignment="1">
      <alignment horizontal="center" vertical="top" wrapText="1"/>
    </xf>
    <xf numFmtId="165" fontId="122" fillId="0" borderId="6" xfId="4496" applyNumberFormat="1" applyFont="1" applyBorder="1" applyAlignment="1">
      <alignment horizontal="center" vertical="top" wrapText="1"/>
    </xf>
    <xf numFmtId="165" fontId="122" fillId="0" borderId="60" xfId="4496" applyNumberFormat="1" applyFont="1" applyBorder="1" applyAlignment="1">
      <alignment horizontal="center" vertical="top" wrapText="1"/>
    </xf>
    <xf numFmtId="165" fontId="122" fillId="0" borderId="4" xfId="4496" applyNumberFormat="1" applyFont="1" applyBorder="1" applyAlignment="1">
      <alignment horizontal="center" vertical="top" wrapText="1"/>
    </xf>
    <xf numFmtId="0" fontId="122" fillId="5" borderId="60" xfId="4496" applyFont="1" applyFill="1" applyBorder="1" applyAlignment="1" applyProtection="1">
      <alignment horizontal="center"/>
      <protection locked="0"/>
    </xf>
    <xf numFmtId="0" fontId="122" fillId="5" borderId="4" xfId="4496" applyFont="1" applyFill="1" applyBorder="1" applyAlignment="1" applyProtection="1">
      <alignment horizontal="center"/>
      <protection locked="0"/>
    </xf>
    <xf numFmtId="0" fontId="122" fillId="5" borderId="6" xfId="4496" applyFont="1" applyFill="1" applyBorder="1" applyAlignment="1" applyProtection="1">
      <alignment horizontal="center"/>
      <protection locked="0"/>
    </xf>
    <xf numFmtId="0" fontId="17" fillId="0" borderId="50" xfId="4495" applyFont="1" applyBorder="1" applyAlignment="1">
      <alignment horizontal="left" vertical="center" wrapText="1"/>
    </xf>
    <xf numFmtId="0" fontId="17" fillId="0" borderId="51" xfId="4495" applyFont="1" applyBorder="1" applyAlignment="1">
      <alignment horizontal="left" vertical="center" wrapText="1"/>
    </xf>
    <xf numFmtId="0" fontId="17" fillId="0" borderId="52" xfId="4495" applyFont="1" applyBorder="1" applyAlignment="1">
      <alignment horizontal="left" vertical="center" wrapText="1"/>
    </xf>
    <xf numFmtId="0" fontId="17" fillId="0" borderId="57" xfId="4495" applyFont="1" applyBorder="1" applyAlignment="1">
      <alignment horizontal="left" vertical="center" wrapText="1"/>
    </xf>
    <xf numFmtId="0" fontId="17" fillId="0" borderId="58" xfId="4495" applyFont="1" applyBorder="1" applyAlignment="1">
      <alignment horizontal="left" vertical="center" wrapText="1"/>
    </xf>
    <xf numFmtId="0" fontId="17" fillId="0" borderId="59" xfId="4495" applyFont="1" applyBorder="1" applyAlignment="1">
      <alignment horizontal="left" vertical="center" wrapText="1"/>
    </xf>
    <xf numFmtId="0" fontId="17" fillId="0" borderId="53" xfId="4495" applyFont="1" applyBorder="1" applyAlignment="1">
      <alignment horizontal="left" vertical="center" wrapText="1"/>
    </xf>
    <xf numFmtId="0" fontId="17" fillId="0" borderId="0" xfId="4495" applyFont="1" applyAlignment="1">
      <alignment horizontal="left" vertical="center" wrapText="1"/>
    </xf>
    <xf numFmtId="0" fontId="17" fillId="0" borderId="54" xfId="4495" applyFont="1" applyBorder="1" applyAlignment="1">
      <alignment horizontal="left" vertical="center" wrapText="1"/>
    </xf>
    <xf numFmtId="0" fontId="24" fillId="0" borderId="0" xfId="4495" applyFont="1" applyAlignment="1">
      <alignment horizontal="right"/>
    </xf>
    <xf numFmtId="0" fontId="122" fillId="0" borderId="50" xfId="4496" applyFont="1" applyBorder="1" applyAlignment="1">
      <alignment horizontal="left" vertical="top" wrapText="1"/>
    </xf>
    <xf numFmtId="0" fontId="122" fillId="0" borderId="51" xfId="4496" applyFont="1" applyBorder="1" applyAlignment="1">
      <alignment horizontal="left" vertical="top" wrapText="1"/>
    </xf>
    <xf numFmtId="0" fontId="122" fillId="0" borderId="52" xfId="4496" applyFont="1" applyBorder="1" applyAlignment="1">
      <alignment horizontal="left" vertical="top" wrapText="1"/>
    </xf>
    <xf numFmtId="0" fontId="122" fillId="0" borderId="53" xfId="4496" applyFont="1" applyBorder="1" applyAlignment="1">
      <alignment horizontal="left" vertical="top" wrapText="1"/>
    </xf>
    <xf numFmtId="0" fontId="122" fillId="0" borderId="0" xfId="4496" applyFont="1" applyAlignment="1">
      <alignment horizontal="left" vertical="top" wrapText="1"/>
    </xf>
    <xf numFmtId="0" fontId="122" fillId="0" borderId="54" xfId="4496" applyFont="1" applyBorder="1" applyAlignment="1">
      <alignment horizontal="left" vertical="top" wrapText="1"/>
    </xf>
    <xf numFmtId="0" fontId="122" fillId="0" borderId="57" xfId="4496" applyFont="1" applyBorder="1" applyAlignment="1">
      <alignment horizontal="left" vertical="top" wrapText="1"/>
    </xf>
    <xf numFmtId="0" fontId="122" fillId="0" borderId="58" xfId="4496" applyFont="1" applyBorder="1" applyAlignment="1">
      <alignment horizontal="left" vertical="top" wrapText="1"/>
    </xf>
    <xf numFmtId="0" fontId="122" fillId="0" borderId="59" xfId="4496" applyFont="1" applyBorder="1" applyAlignment="1">
      <alignment horizontal="left" vertical="top" wrapText="1"/>
    </xf>
    <xf numFmtId="0" fontId="122" fillId="5" borderId="55" xfId="4496" applyFont="1" applyFill="1" applyBorder="1" applyAlignment="1" applyProtection="1">
      <alignment horizontal="center"/>
      <protection locked="0"/>
    </xf>
    <xf numFmtId="0" fontId="122" fillId="0" borderId="47" xfId="4496" applyFont="1" applyBorder="1"/>
    <xf numFmtId="0" fontId="122" fillId="0" borderId="48" xfId="4496" applyFont="1" applyBorder="1"/>
    <xf numFmtId="0" fontId="122" fillId="0" borderId="49" xfId="4496" applyFont="1" applyBorder="1"/>
    <xf numFmtId="0" fontId="17" fillId="0" borderId="47" xfId="4495" applyFont="1" applyBorder="1" applyAlignment="1">
      <alignment horizontal="left" vertical="center" wrapText="1"/>
    </xf>
    <xf numFmtId="0" fontId="17" fillId="0" borderId="48" xfId="4495" applyFont="1" applyBorder="1" applyAlignment="1">
      <alignment horizontal="left" vertical="center" wrapText="1"/>
    </xf>
    <xf numFmtId="0" fontId="17" fillId="0" borderId="49" xfId="4495" applyFont="1" applyBorder="1" applyAlignment="1">
      <alignment horizontal="left" vertical="center" wrapText="1"/>
    </xf>
    <xf numFmtId="0" fontId="122" fillId="0" borderId="55" xfId="4496" applyFont="1" applyBorder="1" applyAlignment="1">
      <alignment horizontal="center" vertical="top" wrapText="1"/>
    </xf>
    <xf numFmtId="0" fontId="122" fillId="0" borderId="6" xfId="4496" applyFont="1" applyBorder="1" applyAlignment="1">
      <alignment horizontal="center" vertical="top" wrapText="1"/>
    </xf>
    <xf numFmtId="0" fontId="23" fillId="3" borderId="2" xfId="4495" applyFont="1" applyFill="1" applyBorder="1" applyAlignment="1">
      <alignment horizontal="center" vertical="center"/>
    </xf>
    <xf numFmtId="0" fontId="23" fillId="3" borderId="16" xfId="4495" applyFont="1" applyFill="1" applyBorder="1" applyAlignment="1">
      <alignment horizontal="center" vertical="center"/>
    </xf>
    <xf numFmtId="0" fontId="24" fillId="0" borderId="48" xfId="4495" applyFont="1" applyBorder="1" applyAlignment="1">
      <alignment horizontal="left" vertical="top"/>
    </xf>
    <xf numFmtId="0" fontId="24" fillId="0" borderId="49" xfId="4495" applyFont="1" applyBorder="1" applyAlignment="1">
      <alignment horizontal="left" vertical="top"/>
    </xf>
    <xf numFmtId="1" fontId="17" fillId="0" borderId="3" xfId="4495" applyNumberFormat="1" applyFont="1" applyBorder="1" applyAlignment="1">
      <alignment horizontal="center"/>
    </xf>
    <xf numFmtId="1" fontId="17" fillId="0" borderId="4" xfId="4495" applyNumberFormat="1" applyFont="1" applyBorder="1" applyAlignment="1">
      <alignment horizontal="center"/>
    </xf>
    <xf numFmtId="1" fontId="17" fillId="0" borderId="5" xfId="4495" applyNumberFormat="1" applyFont="1" applyBorder="1" applyAlignment="1">
      <alignment horizontal="center"/>
    </xf>
    <xf numFmtId="0" fontId="17" fillId="0" borderId="50" xfId="4495" applyFont="1" applyBorder="1" applyAlignment="1">
      <alignment vertical="center" wrapText="1"/>
    </xf>
    <xf numFmtId="0" fontId="17" fillId="0" borderId="51" xfId="4495" applyFont="1" applyBorder="1" applyAlignment="1">
      <alignment vertical="center" wrapText="1"/>
    </xf>
    <xf numFmtId="0" fontId="17" fillId="0" borderId="52" xfId="4495" applyFont="1" applyBorder="1" applyAlignment="1">
      <alignment vertical="center" wrapText="1"/>
    </xf>
    <xf numFmtId="0" fontId="17" fillId="0" borderId="57" xfId="4495" applyFont="1" applyBorder="1" applyAlignment="1">
      <alignment vertical="center" wrapText="1"/>
    </xf>
    <xf numFmtId="0" fontId="17" fillId="0" borderId="58" xfId="4495" applyFont="1" applyBorder="1" applyAlignment="1">
      <alignment vertical="center" wrapText="1"/>
    </xf>
    <xf numFmtId="0" fontId="17" fillId="0" borderId="59" xfId="4495" applyFont="1" applyBorder="1" applyAlignment="1">
      <alignment vertical="center" wrapText="1"/>
    </xf>
    <xf numFmtId="0" fontId="122" fillId="43" borderId="55" xfId="4496" applyFont="1" applyFill="1" applyBorder="1" applyAlignment="1" applyProtection="1">
      <alignment horizontal="left" vertical="top" wrapText="1"/>
      <protection locked="0"/>
    </xf>
    <xf numFmtId="0" fontId="122" fillId="43" borderId="6" xfId="4496" applyFont="1" applyFill="1" applyBorder="1" applyAlignment="1" applyProtection="1">
      <alignment horizontal="left" vertical="top" wrapText="1"/>
      <protection locked="0"/>
    </xf>
    <xf numFmtId="0" fontId="122" fillId="43" borderId="56" xfId="4496" applyFont="1" applyFill="1" applyBorder="1" applyAlignment="1" applyProtection="1">
      <alignment horizontal="left" vertical="top" wrapText="1"/>
      <protection locked="0"/>
    </xf>
    <xf numFmtId="0" fontId="24" fillId="0" borderId="0" xfId="4495" applyFont="1" applyAlignment="1">
      <alignment horizontal="center" vertical="top"/>
    </xf>
    <xf numFmtId="0" fontId="17" fillId="5" borderId="6" xfId="4495" applyFont="1" applyFill="1" applyBorder="1" applyAlignment="1" applyProtection="1">
      <alignment horizontal="left"/>
      <protection locked="0"/>
    </xf>
    <xf numFmtId="168" fontId="122" fillId="0" borderId="55" xfId="4496" applyNumberFormat="1" applyFont="1" applyBorder="1" applyAlignment="1">
      <alignment horizontal="center" vertical="top"/>
    </xf>
    <xf numFmtId="168" fontId="122" fillId="0" borderId="6" xfId="4496" applyNumberFormat="1" applyFont="1" applyBorder="1" applyAlignment="1">
      <alignment horizontal="center" vertical="top"/>
    </xf>
    <xf numFmtId="10" fontId="122" fillId="0" borderId="3" xfId="4496" applyNumberFormat="1" applyFont="1" applyBorder="1" applyAlignment="1">
      <alignment horizontal="center" vertical="top" wrapText="1"/>
    </xf>
    <xf numFmtId="10" fontId="122" fillId="0" borderId="4" xfId="4496" applyNumberFormat="1" applyFont="1" applyBorder="1" applyAlignment="1">
      <alignment horizontal="center" vertical="top" wrapText="1"/>
    </xf>
    <xf numFmtId="10" fontId="122" fillId="0" borderId="5" xfId="4496" applyNumberFormat="1" applyFont="1" applyBorder="1" applyAlignment="1">
      <alignment horizontal="center" vertical="top" wrapText="1"/>
    </xf>
    <xf numFmtId="1" fontId="122" fillId="0" borderId="55" xfId="4496" applyNumberFormat="1" applyFont="1" applyBorder="1" applyAlignment="1">
      <alignment horizontal="center" vertical="top" wrapText="1"/>
    </xf>
    <xf numFmtId="1" fontId="122" fillId="0" borderId="6" xfId="4496" applyNumberFormat="1" applyFont="1" applyBorder="1" applyAlignment="1">
      <alignment horizontal="center" vertical="top" wrapText="1"/>
    </xf>
    <xf numFmtId="168" fontId="122" fillId="43" borderId="55" xfId="4496" applyNumberFormat="1" applyFont="1" applyFill="1" applyBorder="1" applyAlignment="1" applyProtection="1">
      <alignment horizontal="center" vertical="top" wrapText="1"/>
      <protection locked="0"/>
    </xf>
    <xf numFmtId="168" fontId="122" fillId="43" borderId="6" xfId="4496" applyNumberFormat="1" applyFont="1" applyFill="1" applyBorder="1" applyAlignment="1" applyProtection="1">
      <alignment horizontal="center" vertical="top" wrapText="1"/>
      <protection locked="0"/>
    </xf>
    <xf numFmtId="0" fontId="17" fillId="0" borderId="0" xfId="1192" applyAlignment="1">
      <alignment horizontal="right"/>
    </xf>
    <xf numFmtId="0" fontId="17" fillId="5" borderId="6" xfId="1192" applyFill="1" applyBorder="1" applyAlignment="1" applyProtection="1">
      <alignment horizontal="left"/>
      <protection locked="0"/>
    </xf>
    <xf numFmtId="168" fontId="17" fillId="43" borderId="6" xfId="4495" applyNumberFormat="1" applyFont="1" applyFill="1" applyBorder="1" applyAlignment="1" applyProtection="1">
      <alignment horizontal="right"/>
      <protection locked="0"/>
    </xf>
    <xf numFmtId="9" fontId="17" fillId="0" borderId="6" xfId="1192" applyNumberFormat="1" applyBorder="1" applyAlignment="1">
      <alignment horizontal="center"/>
    </xf>
    <xf numFmtId="9" fontId="17" fillId="0" borderId="6" xfId="1192" quotePrefix="1" applyNumberFormat="1" applyBorder="1" applyAlignment="1">
      <alignment horizontal="center"/>
    </xf>
    <xf numFmtId="9" fontId="17" fillId="0" borderId="0" xfId="1192" quotePrefix="1" applyNumberFormat="1" applyAlignment="1">
      <alignment horizontal="center"/>
    </xf>
    <xf numFmtId="1" fontId="17" fillId="5" borderId="2" xfId="1192" applyNumberFormat="1" applyFill="1" applyBorder="1" applyAlignment="1" applyProtection="1">
      <alignment horizontal="center"/>
      <protection locked="0"/>
    </xf>
    <xf numFmtId="9" fontId="17" fillId="5" borderId="4" xfId="1192" applyNumberFormat="1" applyFill="1" applyBorder="1" applyAlignment="1" applyProtection="1">
      <alignment horizontal="left"/>
      <protection locked="0"/>
    </xf>
    <xf numFmtId="168" fontId="17" fillId="0" borderId="0" xfId="1192" applyNumberFormat="1" applyAlignment="1">
      <alignment horizontal="right"/>
    </xf>
    <xf numFmtId="1" fontId="17" fillId="5" borderId="4" xfId="1192" applyNumberFormat="1" applyFill="1" applyBorder="1" applyAlignment="1" applyProtection="1">
      <alignment horizontal="center"/>
      <protection locked="0"/>
    </xf>
    <xf numFmtId="0" fontId="142" fillId="0" borderId="6" xfId="1192" applyFont="1" applyBorder="1" applyAlignment="1">
      <alignment horizontal="center"/>
    </xf>
    <xf numFmtId="168" fontId="17" fillId="5" borderId="4" xfId="1192" applyNumberFormat="1" applyFill="1" applyBorder="1" applyAlignment="1" applyProtection="1">
      <alignment horizontal="center"/>
      <protection locked="0"/>
    </xf>
    <xf numFmtId="0" fontId="17" fillId="0" borderId="6" xfId="1192" applyBorder="1" applyAlignment="1">
      <alignment horizontal="left"/>
    </xf>
    <xf numFmtId="2" fontId="17" fillId="0" borderId="0" xfId="1192" applyNumberFormat="1" applyAlignment="1">
      <alignment horizontal="right"/>
    </xf>
    <xf numFmtId="0" fontId="25" fillId="5" borderId="6" xfId="4495" applyFont="1" applyFill="1" applyBorder="1" applyAlignment="1" applyProtection="1">
      <alignment horizontal="left"/>
      <protection locked="0"/>
    </xf>
    <xf numFmtId="0" fontId="17" fillId="0" borderId="0" xfId="4495" applyFont="1" applyAlignment="1">
      <alignment horizontal="left"/>
    </xf>
    <xf numFmtId="0" fontId="53" fillId="5" borderId="6" xfId="4495" applyFont="1" applyFill="1" applyBorder="1" applyAlignment="1" applyProtection="1">
      <alignment horizontal="left"/>
      <protection locked="0"/>
    </xf>
    <xf numFmtId="0" fontId="17" fillId="5" borderId="6" xfId="4495" applyFont="1" applyFill="1" applyBorder="1" applyAlignment="1" applyProtection="1">
      <alignment horizontal="center"/>
      <protection locked="0"/>
    </xf>
    <xf numFmtId="0" fontId="17" fillId="44" borderId="6" xfId="4495" applyFont="1" applyFill="1" applyBorder="1" applyAlignment="1">
      <alignment horizontal="left"/>
    </xf>
    <xf numFmtId="1" fontId="17" fillId="0" borderId="11" xfId="4495" applyNumberFormat="1" applyFont="1" applyBorder="1" applyAlignment="1">
      <alignment horizontal="center"/>
    </xf>
    <xf numFmtId="0" fontId="17" fillId="0" borderId="11" xfId="4495" applyFont="1" applyBorder="1" applyAlignment="1">
      <alignment horizontal="center"/>
    </xf>
    <xf numFmtId="0" fontId="120" fillId="5" borderId="6" xfId="4495" applyFill="1" applyBorder="1" applyAlignment="1" applyProtection="1">
      <alignment horizontal="center"/>
      <protection locked="0"/>
    </xf>
    <xf numFmtId="0" fontId="24" fillId="0" borderId="0" xfId="4495" applyFont="1" applyAlignment="1">
      <alignment horizontal="left" vertical="top"/>
    </xf>
    <xf numFmtId="0" fontId="120" fillId="0" borderId="0" xfId="4495" applyAlignment="1" applyProtection="1">
      <alignment horizontal="center"/>
      <protection locked="0"/>
    </xf>
    <xf numFmtId="0" fontId="17" fillId="0" borderId="3" xfId="4495" applyFont="1" applyBorder="1" applyAlignment="1">
      <alignment horizontal="center"/>
    </xf>
    <xf numFmtId="0" fontId="17" fillId="0" borderId="4" xfId="4495" applyFont="1" applyBorder="1" applyAlignment="1">
      <alignment horizontal="center"/>
    </xf>
    <xf numFmtId="0" fontId="17" fillId="0" borderId="5" xfId="4495" applyFont="1" applyBorder="1" applyAlignment="1">
      <alignment horizontal="center"/>
    </xf>
    <xf numFmtId="168" fontId="17" fillId="0" borderId="6" xfId="4496" applyNumberFormat="1" applyFont="1" applyBorder="1" applyAlignment="1">
      <alignment horizontal="center"/>
    </xf>
    <xf numFmtId="9" fontId="17" fillId="0" borderId="4" xfId="543" applyNumberFormat="1" applyBorder="1" applyAlignment="1">
      <alignment horizontal="center"/>
    </xf>
    <xf numFmtId="0" fontId="17" fillId="0" borderId="4" xfId="4496" applyFont="1" applyBorder="1" applyAlignment="1">
      <alignment horizontal="center"/>
    </xf>
    <xf numFmtId="0" fontId="17" fillId="0" borderId="5" xfId="4496" applyFont="1" applyBorder="1" applyAlignment="1">
      <alignment horizontal="center"/>
    </xf>
    <xf numFmtId="168" fontId="17" fillId="0" borderId="6" xfId="4495" applyNumberFormat="1" applyFont="1" applyBorder="1" applyAlignment="1">
      <alignment horizontal="right"/>
    </xf>
    <xf numFmtId="168" fontId="118" fillId="0" borderId="6" xfId="4495" applyNumberFormat="1" applyFont="1" applyBorder="1" applyAlignment="1">
      <alignment horizontal="right"/>
    </xf>
    <xf numFmtId="6" fontId="17" fillId="0" borderId="3" xfId="1192" applyNumberFormat="1" applyBorder="1" applyAlignment="1">
      <alignment horizontal="right"/>
    </xf>
    <xf numFmtId="6" fontId="17" fillId="0" borderId="4" xfId="1192" applyNumberFormat="1" applyBorder="1" applyAlignment="1">
      <alignment horizontal="right"/>
    </xf>
    <xf numFmtId="6" fontId="17" fillId="0" borderId="5" xfId="1192" applyNumberFormat="1" applyBorder="1" applyAlignment="1">
      <alignment horizontal="right"/>
    </xf>
    <xf numFmtId="168" fontId="17" fillId="0" borderId="4" xfId="4495" applyNumberFormat="1" applyFont="1" applyBorder="1" applyAlignment="1">
      <alignment horizontal="right"/>
    </xf>
    <xf numFmtId="165" fontId="17" fillId="43" borderId="3" xfId="4495" applyNumberFormat="1" applyFont="1" applyFill="1" applyBorder="1" applyAlignment="1" applyProtection="1">
      <alignment horizontal="center"/>
      <protection locked="0"/>
    </xf>
    <xf numFmtId="165" fontId="17" fillId="43" borderId="4" xfId="4495" applyNumberFormat="1" applyFont="1" applyFill="1" applyBorder="1" applyAlignment="1" applyProtection="1">
      <alignment horizontal="center"/>
      <protection locked="0"/>
    </xf>
    <xf numFmtId="165" fontId="17" fillId="43" borderId="5" xfId="4495" applyNumberFormat="1" applyFont="1" applyFill="1" applyBorder="1" applyAlignment="1" applyProtection="1">
      <alignment horizontal="center"/>
      <protection locked="0"/>
    </xf>
    <xf numFmtId="165" fontId="17" fillId="0" borderId="6" xfId="1192" applyNumberFormat="1" applyBorder="1" applyAlignment="1">
      <alignment horizontal="right"/>
    </xf>
    <xf numFmtId="168" fontId="17" fillId="0" borderId="2" xfId="1192" applyNumberFormat="1" applyBorder="1" applyAlignment="1">
      <alignment horizontal="right"/>
    </xf>
    <xf numFmtId="165" fontId="17" fillId="0" borderId="0" xfId="1192" applyNumberFormat="1" applyAlignment="1">
      <alignment horizontal="right"/>
    </xf>
    <xf numFmtId="0" fontId="17" fillId="0" borderId="53" xfId="4495" applyFont="1" applyBorder="1" applyAlignment="1">
      <alignment horizontal="left" vertical="top" wrapText="1"/>
    </xf>
    <xf numFmtId="0" fontId="17" fillId="0" borderId="0" xfId="4495" applyFont="1" applyAlignment="1">
      <alignment horizontal="left" vertical="top" wrapText="1"/>
    </xf>
    <xf numFmtId="0" fontId="17" fillId="0" borderId="54" xfId="4495" applyFont="1" applyBorder="1" applyAlignment="1">
      <alignment horizontal="left" vertical="top" wrapText="1"/>
    </xf>
    <xf numFmtId="0" fontId="17" fillId="0" borderId="57" xfId="4495" applyFont="1" applyBorder="1" applyAlignment="1">
      <alignment horizontal="left" vertical="top" wrapText="1"/>
    </xf>
    <xf numFmtId="0" fontId="17" fillId="0" borderId="58" xfId="4495" applyFont="1" applyBorder="1" applyAlignment="1">
      <alignment horizontal="left" vertical="top" wrapText="1"/>
    </xf>
    <xf numFmtId="0" fontId="17" fillId="0" borderId="59" xfId="4495" applyFont="1" applyBorder="1" applyAlignment="1">
      <alignment horizontal="left" vertical="top" wrapText="1"/>
    </xf>
    <xf numFmtId="0" fontId="17" fillId="0" borderId="50" xfId="4495" applyFont="1" applyBorder="1" applyAlignment="1">
      <alignment horizontal="left" vertical="top" wrapText="1"/>
    </xf>
    <xf numFmtId="0" fontId="17" fillId="0" borderId="51" xfId="4495" applyFont="1" applyBorder="1" applyAlignment="1">
      <alignment horizontal="left" vertical="top" wrapText="1"/>
    </xf>
    <xf numFmtId="0" fontId="17" fillId="0" borderId="52" xfId="4495" applyFont="1" applyBorder="1" applyAlignment="1">
      <alignment horizontal="left" vertical="top" wrapText="1"/>
    </xf>
    <xf numFmtId="0" fontId="24" fillId="0" borderId="0" xfId="4495" applyFont="1"/>
    <xf numFmtId="0" fontId="17" fillId="43" borderId="53" xfId="4495" applyFont="1" applyFill="1" applyBorder="1" applyAlignment="1" applyProtection="1">
      <alignment vertical="top" wrapText="1"/>
      <protection locked="0"/>
    </xf>
    <xf numFmtId="0" fontId="17" fillId="43" borderId="0" xfId="4495" applyFont="1" applyFill="1" applyAlignment="1" applyProtection="1">
      <alignment vertical="top" wrapText="1"/>
      <protection locked="0"/>
    </xf>
    <xf numFmtId="0" fontId="17" fillId="43" borderId="54" xfId="4495" applyFont="1" applyFill="1" applyBorder="1" applyAlignment="1" applyProtection="1">
      <alignment vertical="top" wrapText="1"/>
      <protection locked="0"/>
    </xf>
    <xf numFmtId="0" fontId="17" fillId="43" borderId="55" xfId="4495" applyFont="1" applyFill="1" applyBorder="1" applyAlignment="1" applyProtection="1">
      <alignment vertical="top" wrapText="1"/>
      <protection locked="0"/>
    </xf>
    <xf numFmtId="0" fontId="17" fillId="43" borderId="6" xfId="4495" applyFont="1" applyFill="1" applyBorder="1" applyAlignment="1" applyProtection="1">
      <alignment vertical="top" wrapText="1"/>
      <protection locked="0"/>
    </xf>
    <xf numFmtId="0" fontId="17" fillId="43" borderId="56" xfId="4495" applyFont="1" applyFill="1" applyBorder="1" applyAlignment="1" applyProtection="1">
      <alignment vertical="top" wrapText="1"/>
      <protection locked="0"/>
    </xf>
    <xf numFmtId="0" fontId="17" fillId="43" borderId="0" xfId="4495" applyFont="1" applyFill="1" applyAlignment="1" applyProtection="1">
      <alignment horizontal="left" vertical="center" wrapText="1"/>
      <protection locked="0"/>
    </xf>
    <xf numFmtId="0" fontId="17" fillId="43" borderId="54" xfId="4495" applyFont="1" applyFill="1" applyBorder="1" applyAlignment="1" applyProtection="1">
      <alignment horizontal="left" vertical="center" wrapText="1"/>
      <protection locked="0"/>
    </xf>
    <xf numFmtId="0" fontId="17" fillId="43" borderId="6" xfId="4495" applyFont="1" applyFill="1" applyBorder="1" applyAlignment="1" applyProtection="1">
      <alignment horizontal="left" vertical="center" wrapText="1"/>
      <protection locked="0"/>
    </xf>
    <xf numFmtId="0" fontId="17" fillId="43" borderId="56" xfId="4495" applyFont="1" applyFill="1" applyBorder="1" applyAlignment="1" applyProtection="1">
      <alignment horizontal="left" vertical="center" wrapText="1"/>
      <protection locked="0"/>
    </xf>
    <xf numFmtId="0" fontId="130" fillId="0" borderId="0" xfId="4495" applyFont="1" applyAlignment="1">
      <alignment horizontal="left" vertical="top" wrapText="1"/>
    </xf>
    <xf numFmtId="0" fontId="120" fillId="5" borderId="55" xfId="4495" applyFill="1" applyBorder="1" applyAlignment="1" applyProtection="1">
      <alignment horizontal="center"/>
      <protection locked="0"/>
    </xf>
    <xf numFmtId="0" fontId="24" fillId="0" borderId="0" xfId="4495" applyFont="1" applyAlignment="1">
      <alignment horizontal="center"/>
    </xf>
    <xf numFmtId="0" fontId="24" fillId="0" borderId="54" xfId="4495" applyFont="1" applyBorder="1" applyAlignment="1">
      <alignment horizontal="center"/>
    </xf>
    <xf numFmtId="0" fontId="25" fillId="0" borderId="51" xfId="4495" applyFont="1" applyBorder="1" applyAlignment="1">
      <alignment horizontal="left" vertical="top" wrapText="1"/>
    </xf>
    <xf numFmtId="0" fontId="25" fillId="0" borderId="0" xfId="4495" applyFont="1" applyAlignment="1">
      <alignment horizontal="left" vertical="top" wrapText="1"/>
    </xf>
    <xf numFmtId="0" fontId="24" fillId="0" borderId="54" xfId="4495" applyFont="1" applyBorder="1" applyAlignment="1">
      <alignment horizontal="center" vertical="top"/>
    </xf>
    <xf numFmtId="0" fontId="120" fillId="5" borderId="62" xfId="4495" applyFill="1" applyBorder="1" applyAlignment="1" applyProtection="1">
      <alignment horizontal="center"/>
      <protection locked="0"/>
    </xf>
    <xf numFmtId="0" fontId="120" fillId="5" borderId="63" xfId="4495" applyFill="1" applyBorder="1" applyAlignment="1" applyProtection="1">
      <alignment horizontal="center"/>
      <protection locked="0"/>
    </xf>
    <xf numFmtId="0" fontId="17" fillId="0" borderId="0" xfId="4495" applyFont="1" applyAlignment="1">
      <alignment horizontal="left" vertical="center" wrapText="1" shrinkToFit="1"/>
    </xf>
    <xf numFmtId="0" fontId="17" fillId="5" borderId="6" xfId="4495" applyFont="1" applyFill="1" applyBorder="1" applyAlignment="1" applyProtection="1">
      <alignment horizontal="center" vertical="center" wrapText="1" shrinkToFit="1"/>
      <protection locked="0"/>
    </xf>
    <xf numFmtId="0" fontId="17" fillId="5" borderId="6" xfId="4495" applyFont="1" applyFill="1" applyBorder="1" applyAlignment="1" applyProtection="1">
      <alignment horizontal="left" wrapText="1" shrinkToFit="1"/>
      <protection locked="0"/>
    </xf>
    <xf numFmtId="0" fontId="17" fillId="43" borderId="6" xfId="1192" applyFill="1" applyBorder="1" applyAlignment="1" applyProtection="1">
      <alignment horizontal="left" vertical="top"/>
      <protection locked="0"/>
    </xf>
    <xf numFmtId="0" fontId="157" fillId="0" borderId="0" xfId="0" applyFont="1" applyAlignment="1" applyProtection="1">
      <alignment horizontal="left"/>
      <protection locked="0"/>
    </xf>
    <xf numFmtId="168" fontId="156" fillId="0" borderId="0" xfId="0" applyNumberFormat="1" applyFont="1" applyAlignment="1">
      <alignment horizontal="center" vertical="top" wrapText="1"/>
    </xf>
    <xf numFmtId="168" fontId="156" fillId="0" borderId="12" xfId="0" applyNumberFormat="1" applyFont="1" applyBorder="1" applyAlignment="1">
      <alignment horizontal="center" vertical="top" wrapText="1"/>
    </xf>
    <xf numFmtId="0" fontId="25" fillId="0" borderId="0" xfId="4495" applyFont="1" applyAlignment="1">
      <alignment horizontal="center"/>
    </xf>
    <xf numFmtId="0" fontId="17" fillId="0" borderId="0" xfId="4495" applyFont="1" applyAlignment="1">
      <alignment wrapText="1"/>
    </xf>
    <xf numFmtId="0" fontId="17" fillId="0" borderId="0" xfId="4495" applyFont="1" applyAlignment="1">
      <alignment horizontal="left" vertical="top" wrapText="1" shrinkToFit="1"/>
    </xf>
    <xf numFmtId="44" fontId="17" fillId="0" borderId="0" xfId="707" applyFont="1" applyFill="1" applyBorder="1" applyAlignment="1" applyProtection="1">
      <alignment horizontal="left" vertical="top" wrapText="1"/>
    </xf>
    <xf numFmtId="0" fontId="24" fillId="0" borderId="0" xfId="4495" applyFont="1" applyAlignment="1">
      <alignment horizontal="left" vertical="top" wrapText="1"/>
    </xf>
    <xf numFmtId="0" fontId="17" fillId="45" borderId="11" xfId="4495" applyFont="1" applyFill="1" applyBorder="1" applyAlignment="1">
      <alignment horizontal="center"/>
    </xf>
    <xf numFmtId="0" fontId="130" fillId="0" borderId="0" xfId="4495" applyFont="1" applyAlignment="1">
      <alignment horizontal="left" vertical="center" wrapText="1"/>
    </xf>
    <xf numFmtId="0" fontId="24" fillId="0" borderId="11" xfId="4495" applyFont="1" applyBorder="1" applyAlignment="1">
      <alignment horizontal="center"/>
    </xf>
    <xf numFmtId="0" fontId="25" fillId="0" borderId="58" xfId="4495" applyFont="1" applyBorder="1" applyAlignment="1">
      <alignment horizontal="left" vertical="top" wrapText="1"/>
    </xf>
    <xf numFmtId="0" fontId="24" fillId="0" borderId="51" xfId="4495" applyFont="1" applyBorder="1" applyAlignment="1">
      <alignment horizontal="center" vertical="top"/>
    </xf>
    <xf numFmtId="0" fontId="24" fillId="0" borderId="52" xfId="4495" applyFont="1" applyBorder="1" applyAlignment="1">
      <alignment horizontal="center" vertical="top"/>
    </xf>
    <xf numFmtId="0" fontId="120" fillId="5" borderId="50" xfId="4495" applyFill="1" applyBorder="1" applyAlignment="1">
      <alignment horizontal="center"/>
    </xf>
    <xf numFmtId="0" fontId="120" fillId="5" borderId="51" xfId="4495" applyFill="1" applyBorder="1" applyAlignment="1">
      <alignment horizontal="center"/>
    </xf>
    <xf numFmtId="0" fontId="53" fillId="0" borderId="51" xfId="4495" applyFont="1" applyBorder="1" applyAlignment="1">
      <alignment horizontal="left" wrapText="1"/>
    </xf>
    <xf numFmtId="0" fontId="53" fillId="0" borderId="0" xfId="4495" applyFont="1" applyAlignment="1">
      <alignment horizontal="left" wrapText="1"/>
    </xf>
    <xf numFmtId="0" fontId="120" fillId="5" borderId="53" xfId="4495" applyFill="1" applyBorder="1" applyAlignment="1">
      <alignment horizontal="center"/>
    </xf>
    <xf numFmtId="0" fontId="120" fillId="5" borderId="0" xfId="4495" applyFill="1" applyAlignment="1">
      <alignment horizontal="center"/>
    </xf>
    <xf numFmtId="0" fontId="120" fillId="5" borderId="55" xfId="4495" applyFill="1" applyBorder="1" applyAlignment="1">
      <alignment horizontal="center"/>
    </xf>
    <xf numFmtId="0" fontId="120" fillId="5" borderId="6" xfId="4495" applyFill="1" applyBorder="1" applyAlignment="1">
      <alignment horizontal="center"/>
    </xf>
    <xf numFmtId="0" fontId="25" fillId="5" borderId="0" xfId="4495" applyFont="1" applyFill="1" applyAlignment="1">
      <alignment horizontal="left" vertical="top" wrapText="1"/>
    </xf>
    <xf numFmtId="0" fontId="25" fillId="5" borderId="58" xfId="4495" applyFont="1" applyFill="1" applyBorder="1" applyAlignment="1">
      <alignment horizontal="left" vertical="top" wrapText="1"/>
    </xf>
    <xf numFmtId="0" fontId="24" fillId="0" borderId="4" xfId="4495" applyFont="1" applyBorder="1" applyAlignment="1">
      <alignment horizontal="left"/>
    </xf>
    <xf numFmtId="0" fontId="24" fillId="0" borderId="5" xfId="4495" applyFont="1" applyBorder="1" applyAlignment="1">
      <alignment horizontal="left"/>
    </xf>
    <xf numFmtId="1" fontId="24" fillId="0" borderId="4" xfId="4495" applyNumberFormat="1" applyFont="1" applyBorder="1" applyAlignment="1">
      <alignment horizontal="center" wrapText="1"/>
    </xf>
    <xf numFmtId="0" fontId="24" fillId="0" borderId="4" xfId="4495" applyFont="1" applyBorder="1" applyAlignment="1">
      <alignment horizontal="center" wrapText="1"/>
    </xf>
    <xf numFmtId="0" fontId="24" fillId="0" borderId="5" xfId="4495" applyFont="1" applyBorder="1" applyAlignment="1">
      <alignment horizontal="center" wrapText="1"/>
    </xf>
    <xf numFmtId="0" fontId="24" fillId="0" borderId="3" xfId="4495" applyFont="1" applyBorder="1" applyAlignment="1">
      <alignment horizontal="center" wrapText="1"/>
    </xf>
    <xf numFmtId="0" fontId="17" fillId="0" borderId="50" xfId="4496" applyFont="1" applyBorder="1" applyAlignment="1">
      <alignment horizontal="left" wrapText="1"/>
    </xf>
    <xf numFmtId="0" fontId="17" fillId="0" borderId="51" xfId="4496" applyFont="1" applyBorder="1" applyAlignment="1">
      <alignment horizontal="left" wrapText="1"/>
    </xf>
    <xf numFmtId="0" fontId="17" fillId="0" borderId="52" xfId="4496" applyFont="1" applyBorder="1" applyAlignment="1">
      <alignment horizontal="left" wrapText="1"/>
    </xf>
    <xf numFmtId="0" fontId="17" fillId="0" borderId="53" xfId="4496" applyFont="1" applyBorder="1" applyAlignment="1">
      <alignment horizontal="left" wrapText="1"/>
    </xf>
    <xf numFmtId="0" fontId="17" fillId="0" borderId="0" xfId="4496" applyFont="1" applyAlignment="1">
      <alignment horizontal="left" wrapText="1"/>
    </xf>
    <xf numFmtId="0" fontId="17" fillId="0" borderId="54" xfId="4496" applyFont="1" applyBorder="1" applyAlignment="1">
      <alignment horizontal="left" wrapText="1"/>
    </xf>
    <xf numFmtId="0" fontId="17" fillId="0" borderId="57" xfId="4496" applyFont="1" applyBorder="1" applyAlignment="1">
      <alignment horizontal="left" wrapText="1"/>
    </xf>
    <xf numFmtId="0" fontId="17" fillId="0" borderId="58" xfId="4496" applyFont="1" applyBorder="1" applyAlignment="1">
      <alignment horizontal="left" wrapText="1"/>
    </xf>
    <xf numFmtId="0" fontId="17" fillId="0" borderId="59" xfId="4496" applyFont="1" applyBorder="1" applyAlignment="1">
      <alignment horizontal="left" wrapText="1"/>
    </xf>
    <xf numFmtId="1" fontId="17" fillId="0" borderId="4" xfId="4496" applyNumberFormat="1" applyFont="1" applyBorder="1" applyAlignment="1">
      <alignment horizontal="center"/>
    </xf>
    <xf numFmtId="1" fontId="17" fillId="0" borderId="5" xfId="4496" applyNumberFormat="1" applyFont="1" applyBorder="1" applyAlignment="1">
      <alignment horizontal="center"/>
    </xf>
    <xf numFmtId="49" fontId="23" fillId="3" borderId="2" xfId="4495" applyNumberFormat="1" applyFont="1" applyFill="1" applyBorder="1" applyAlignment="1">
      <alignment horizontal="center" vertical="center" wrapText="1"/>
    </xf>
    <xf numFmtId="49" fontId="23" fillId="3" borderId="2" xfId="4495" applyNumberFormat="1" applyFont="1" applyFill="1" applyBorder="1" applyAlignment="1">
      <alignment horizontal="center" vertical="center"/>
    </xf>
    <xf numFmtId="49" fontId="23" fillId="3" borderId="0" xfId="4495" applyNumberFormat="1" applyFont="1" applyFill="1" applyAlignment="1">
      <alignment horizontal="center" vertical="center"/>
    </xf>
    <xf numFmtId="0" fontId="24" fillId="0" borderId="1" xfId="4495" applyFont="1" applyBorder="1" applyAlignment="1">
      <alignment horizontal="center" wrapText="1"/>
    </xf>
    <xf numFmtId="0" fontId="24" fillId="0" borderId="2" xfId="4495" applyFont="1" applyBorder="1" applyAlignment="1">
      <alignment horizontal="center" wrapText="1"/>
    </xf>
    <xf numFmtId="0" fontId="24" fillId="0" borderId="7" xfId="4495" applyFont="1" applyBorder="1" applyAlignment="1">
      <alignment horizontal="center" wrapText="1"/>
    </xf>
    <xf numFmtId="0" fontId="24" fillId="0" borderId="9" xfId="4495" applyFont="1" applyBorder="1" applyAlignment="1">
      <alignment horizontal="center" wrapText="1"/>
    </xf>
    <xf numFmtId="0" fontId="24" fillId="0" borderId="6" xfId="4495" applyFont="1" applyBorder="1" applyAlignment="1">
      <alignment horizontal="center" wrapText="1"/>
    </xf>
    <xf numFmtId="0" fontId="24" fillId="0" borderId="10" xfId="4495" applyFont="1" applyBorder="1" applyAlignment="1">
      <alignment horizontal="center" wrapText="1"/>
    </xf>
    <xf numFmtId="1" fontId="24" fillId="0" borderId="11" xfId="4495" applyNumberFormat="1" applyFont="1" applyBorder="1" applyAlignment="1">
      <alignment horizontal="center"/>
    </xf>
    <xf numFmtId="0" fontId="17" fillId="0" borderId="4" xfId="4495" applyFont="1" applyBorder="1" applyAlignment="1">
      <alignment horizontal="left"/>
    </xf>
    <xf numFmtId="0" fontId="17" fillId="0" borderId="5" xfId="4495" applyFont="1" applyBorder="1" applyAlignment="1">
      <alignment horizontal="left"/>
    </xf>
    <xf numFmtId="1" fontId="17" fillId="46" borderId="11" xfId="4495" applyNumberFormat="1" applyFont="1" applyFill="1" applyBorder="1" applyAlignment="1">
      <alignment horizontal="center"/>
    </xf>
    <xf numFmtId="0" fontId="24" fillId="0" borderId="3" xfId="4495" applyFont="1" applyBorder="1" applyAlignment="1">
      <alignment horizontal="left"/>
    </xf>
    <xf numFmtId="0" fontId="17" fillId="5" borderId="11" xfId="4495" applyFont="1" applyFill="1" applyBorder="1" applyAlignment="1" applyProtection="1">
      <alignment horizontal="center"/>
      <protection locked="0"/>
    </xf>
    <xf numFmtId="0" fontId="24" fillId="0" borderId="3" xfId="4495" applyFont="1" applyBorder="1" applyAlignment="1">
      <alignment horizontal="center"/>
    </xf>
    <xf numFmtId="0" fontId="24" fillId="0" borderId="4" xfId="4495" applyFont="1" applyBorder="1" applyAlignment="1">
      <alignment horizontal="center"/>
    </xf>
    <xf numFmtId="0" fontId="24" fillId="0" borderId="5" xfId="4495" applyFont="1" applyBorder="1" applyAlignment="1">
      <alignment horizontal="center"/>
    </xf>
    <xf numFmtId="164" fontId="64" fillId="0" borderId="1" xfId="4495" applyNumberFormat="1" applyFont="1" applyBorder="1" applyAlignment="1">
      <alignment horizontal="right" vertical="center"/>
    </xf>
    <xf numFmtId="164" fontId="64" fillId="0" borderId="2" xfId="4495" applyNumberFormat="1" applyFont="1" applyBorder="1" applyAlignment="1">
      <alignment horizontal="right" vertical="center"/>
    </xf>
    <xf numFmtId="164" fontId="64" fillId="0" borderId="7" xfId="4495" applyNumberFormat="1" applyFont="1" applyBorder="1" applyAlignment="1">
      <alignment horizontal="right" vertical="center"/>
    </xf>
    <xf numFmtId="164" fontId="64" fillId="0" borderId="9" xfId="4495" applyNumberFormat="1" applyFont="1" applyBorder="1" applyAlignment="1">
      <alignment horizontal="right" vertical="center"/>
    </xf>
    <xf numFmtId="164" fontId="64" fillId="0" borderId="6" xfId="4495" applyNumberFormat="1" applyFont="1" applyBorder="1" applyAlignment="1">
      <alignment horizontal="right" vertical="center"/>
    </xf>
    <xf numFmtId="164" fontId="64" fillId="0" borderId="10" xfId="4495" applyNumberFormat="1" applyFont="1" applyBorder="1" applyAlignment="1">
      <alignment horizontal="right" vertical="center"/>
    </xf>
    <xf numFmtId="180" fontId="64" fillId="0" borderId="1" xfId="4495" applyNumberFormat="1" applyFont="1" applyBorder="1" applyAlignment="1">
      <alignment horizontal="center" vertical="center"/>
    </xf>
    <xf numFmtId="180" fontId="64" fillId="0" borderId="2" xfId="4495" applyNumberFormat="1" applyFont="1" applyBorder="1" applyAlignment="1">
      <alignment horizontal="center" vertical="center"/>
    </xf>
    <xf numFmtId="180" fontId="64" fillId="0" borderId="7" xfId="4495" applyNumberFormat="1" applyFont="1" applyBorder="1" applyAlignment="1">
      <alignment horizontal="center" vertical="center"/>
    </xf>
    <xf numFmtId="180" fontId="64" fillId="0" borderId="9" xfId="4495" applyNumberFormat="1" applyFont="1" applyBorder="1" applyAlignment="1">
      <alignment horizontal="center" vertical="center"/>
    </xf>
    <xf numFmtId="180" fontId="64" fillId="0" borderId="6" xfId="4495" applyNumberFormat="1" applyFont="1" applyBorder="1" applyAlignment="1">
      <alignment horizontal="center" vertical="center"/>
    </xf>
    <xf numFmtId="180" fontId="64" fillId="0" borderId="10" xfId="4495" applyNumberFormat="1" applyFont="1" applyBorder="1" applyAlignment="1">
      <alignment horizontal="center" vertical="center"/>
    </xf>
    <xf numFmtId="0" fontId="17" fillId="0" borderId="6" xfId="1192" applyBorder="1" applyAlignment="1">
      <alignment horizontal="right"/>
    </xf>
    <xf numFmtId="0" fontId="122" fillId="0" borderId="50" xfId="4496" applyFont="1" applyBorder="1" applyAlignment="1">
      <alignment horizontal="left" wrapText="1"/>
    </xf>
    <xf numFmtId="0" fontId="122" fillId="0" borderId="51" xfId="4496" applyFont="1" applyBorder="1" applyAlignment="1">
      <alignment horizontal="left" wrapText="1"/>
    </xf>
    <xf numFmtId="0" fontId="122" fillId="0" borderId="52" xfId="4496" applyFont="1" applyBorder="1" applyAlignment="1">
      <alignment horizontal="left" wrapText="1"/>
    </xf>
    <xf numFmtId="0" fontId="122" fillId="0" borderId="57" xfId="4496" applyFont="1" applyBorder="1" applyAlignment="1">
      <alignment horizontal="left" wrapText="1"/>
    </xf>
    <xf numFmtId="0" fontId="122" fillId="0" borderId="58" xfId="4496" applyFont="1" applyBorder="1" applyAlignment="1">
      <alignment horizontal="left" wrapText="1"/>
    </xf>
    <xf numFmtId="0" fontId="122" fillId="0" borderId="59" xfId="4496" applyFont="1" applyBorder="1" applyAlignment="1">
      <alignment horizontal="left" wrapText="1"/>
    </xf>
    <xf numFmtId="0" fontId="120" fillId="0" borderId="53" xfId="4495" applyBorder="1" applyAlignment="1">
      <alignment horizontal="center"/>
    </xf>
    <xf numFmtId="0" fontId="120" fillId="0" borderId="0" xfId="4495" applyAlignment="1">
      <alignment horizontal="center"/>
    </xf>
    <xf numFmtId="0" fontId="25" fillId="5" borderId="0" xfId="4495" applyFont="1" applyFill="1" applyAlignment="1">
      <alignment horizontal="left" vertical="top"/>
    </xf>
    <xf numFmtId="168" fontId="17" fillId="0" borderId="6" xfId="1192" applyNumberFormat="1" applyBorder="1" applyAlignment="1">
      <alignment horizontal="right"/>
    </xf>
    <xf numFmtId="0" fontId="118" fillId="0" borderId="4" xfId="1192" applyFont="1" applyBorder="1" applyAlignment="1">
      <alignment horizontal="left"/>
    </xf>
    <xf numFmtId="168" fontId="17" fillId="43" borderId="6" xfId="543" applyNumberFormat="1" applyFill="1" applyBorder="1" applyAlignment="1" applyProtection="1">
      <alignment horizontal="center"/>
      <protection locked="0"/>
    </xf>
    <xf numFmtId="168" fontId="17" fillId="43" borderId="6" xfId="1192" applyNumberFormat="1" applyFill="1" applyBorder="1" applyAlignment="1" applyProtection="1">
      <alignment horizontal="right"/>
      <protection locked="0"/>
    </xf>
    <xf numFmtId="0" fontId="25" fillId="5" borderId="58" xfId="4495" applyFont="1" applyFill="1" applyBorder="1" applyAlignment="1">
      <alignment horizontal="left"/>
    </xf>
    <xf numFmtId="0" fontId="53" fillId="0" borderId="51" xfId="4495" applyFont="1" applyBorder="1" applyAlignment="1">
      <alignment horizontal="left" vertical="top" wrapText="1"/>
    </xf>
    <xf numFmtId="0" fontId="53" fillId="0" borderId="0" xfId="4495" applyFont="1" applyAlignment="1">
      <alignment horizontal="left" vertical="top" wrapText="1"/>
    </xf>
    <xf numFmtId="9" fontId="25" fillId="5" borderId="58" xfId="4495" applyNumberFormat="1" applyFont="1" applyFill="1" applyBorder="1" applyAlignment="1">
      <alignment horizontal="left"/>
    </xf>
    <xf numFmtId="9" fontId="25" fillId="5" borderId="6" xfId="4495" applyNumberFormat="1" applyFont="1" applyFill="1" applyBorder="1" applyAlignment="1">
      <alignment horizontal="left"/>
    </xf>
    <xf numFmtId="0" fontId="25" fillId="5" borderId="6" xfId="4495" applyFont="1" applyFill="1" applyBorder="1" applyAlignment="1">
      <alignment horizontal="left"/>
    </xf>
    <xf numFmtId="0" fontId="120" fillId="5" borderId="62" xfId="4495" applyFill="1" applyBorder="1" applyAlignment="1">
      <alignment horizontal="center"/>
    </xf>
    <xf numFmtId="0" fontId="120" fillId="5" borderId="63" xfId="4495" applyFill="1" applyBorder="1" applyAlignment="1">
      <alignment horizontal="center"/>
    </xf>
    <xf numFmtId="10" fontId="25" fillId="0" borderId="2" xfId="4495" applyNumberFormat="1" applyFont="1" applyBorder="1" applyAlignment="1">
      <alignment horizontal="center"/>
    </xf>
    <xf numFmtId="4" fontId="25" fillId="0" borderId="0" xfId="4495" applyNumberFormat="1" applyFont="1" applyAlignment="1">
      <alignment horizontal="center"/>
    </xf>
    <xf numFmtId="0" fontId="33" fillId="42" borderId="2" xfId="4495" applyFont="1" applyFill="1" applyBorder="1" applyAlignment="1">
      <alignment horizontal="center"/>
    </xf>
    <xf numFmtId="0" fontId="33" fillId="42" borderId="6" xfId="4495" applyFont="1" applyFill="1" applyBorder="1" applyAlignment="1">
      <alignment horizontal="center"/>
    </xf>
    <xf numFmtId="4" fontId="25" fillId="0" borderId="6" xfId="4495" applyNumberFormat="1" applyFont="1" applyBorder="1" applyAlignment="1">
      <alignment horizontal="center"/>
    </xf>
    <xf numFmtId="168" fontId="17" fillId="0" borderId="4" xfId="1192" applyNumberFormat="1" applyBorder="1" applyAlignment="1">
      <alignment horizontal="right"/>
    </xf>
    <xf numFmtId="168" fontId="17" fillId="0" borderId="4" xfId="4496" applyNumberFormat="1" applyFont="1" applyBorder="1" applyAlignment="1">
      <alignment horizontal="center"/>
    </xf>
    <xf numFmtId="9" fontId="17" fillId="0" borderId="4" xfId="4496" applyNumberFormat="1" applyFont="1" applyBorder="1" applyAlignment="1">
      <alignment horizontal="center"/>
    </xf>
    <xf numFmtId="0" fontId="24" fillId="0" borderId="0" xfId="4495" applyFont="1" applyAlignment="1">
      <alignment horizontal="left" wrapText="1"/>
    </xf>
    <xf numFmtId="164" fontId="17" fillId="0" borderId="50" xfId="4495" applyNumberFormat="1" applyFont="1" applyBorder="1" applyAlignment="1">
      <alignment horizontal="left" vertical="top" wrapText="1"/>
    </xf>
    <xf numFmtId="164" fontId="17" fillId="0" borderId="51" xfId="4495" applyNumberFormat="1" applyFont="1" applyBorder="1" applyAlignment="1">
      <alignment horizontal="left" vertical="top" wrapText="1"/>
    </xf>
    <xf numFmtId="164" fontId="17" fillId="0" borderId="52" xfId="4495" applyNumberFormat="1" applyFont="1" applyBorder="1" applyAlignment="1">
      <alignment horizontal="left" vertical="top" wrapText="1"/>
    </xf>
    <xf numFmtId="164" fontId="17" fillId="0" borderId="53" xfId="4495" applyNumberFormat="1" applyFont="1" applyBorder="1" applyAlignment="1">
      <alignment horizontal="left" vertical="top" wrapText="1"/>
    </xf>
    <xf numFmtId="164" fontId="17" fillId="0" borderId="0" xfId="4495" applyNumberFormat="1" applyFont="1" applyAlignment="1">
      <alignment horizontal="left" vertical="top" wrapText="1"/>
    </xf>
    <xf numFmtId="164" fontId="17" fillId="0" borderId="54" xfId="4495" applyNumberFormat="1" applyFont="1" applyBorder="1" applyAlignment="1">
      <alignment horizontal="left" vertical="top" wrapText="1"/>
    </xf>
    <xf numFmtId="164" fontId="17" fillId="0" borderId="57" xfId="4495" applyNumberFormat="1" applyFont="1" applyBorder="1" applyAlignment="1">
      <alignment horizontal="left" vertical="top" wrapText="1"/>
    </xf>
    <xf numFmtId="164" fontId="17" fillId="0" borderId="58" xfId="4495" applyNumberFormat="1" applyFont="1" applyBorder="1" applyAlignment="1">
      <alignment horizontal="left" vertical="top" wrapText="1"/>
    </xf>
    <xf numFmtId="164" fontId="17" fillId="0" borderId="59" xfId="4495" applyNumberFormat="1" applyFont="1" applyBorder="1" applyAlignment="1">
      <alignment horizontal="left" vertical="top" wrapText="1"/>
    </xf>
    <xf numFmtId="4" fontId="25" fillId="0" borderId="3" xfId="4495" applyNumberFormat="1" applyFont="1" applyBorder="1" applyAlignment="1">
      <alignment horizontal="center"/>
    </xf>
    <xf numFmtId="4" fontId="25" fillId="0" borderId="4" xfId="4495" applyNumberFormat="1" applyFont="1" applyBorder="1" applyAlignment="1">
      <alignment horizontal="center"/>
    </xf>
    <xf numFmtId="4" fontId="25" fillId="0" borderId="5" xfId="4495" applyNumberFormat="1" applyFont="1" applyBorder="1" applyAlignment="1">
      <alignment horizontal="center"/>
    </xf>
    <xf numFmtId="165" fontId="122" fillId="0" borderId="3" xfId="4496" applyNumberFormat="1" applyFont="1" applyBorder="1" applyAlignment="1">
      <alignment horizontal="center" vertical="top" wrapText="1"/>
    </xf>
    <xf numFmtId="165" fontId="122" fillId="0" borderId="5" xfId="4496" applyNumberFormat="1" applyFont="1" applyBorder="1" applyAlignment="1">
      <alignment horizontal="center" vertical="top" wrapText="1"/>
    </xf>
    <xf numFmtId="3" fontId="17" fillId="43" borderId="6" xfId="1192" applyNumberFormat="1" applyFill="1" applyBorder="1" applyAlignment="1" applyProtection="1">
      <alignment horizontal="right"/>
      <protection locked="0"/>
    </xf>
    <xf numFmtId="0" fontId="142" fillId="0" borderId="0" xfId="1192" applyFont="1" applyAlignment="1">
      <alignment horizontal="center"/>
    </xf>
    <xf numFmtId="0" fontId="98" fillId="0" borderId="69" xfId="4496" applyFont="1" applyBorder="1" applyAlignment="1">
      <alignment horizontal="right"/>
    </xf>
    <xf numFmtId="0" fontId="98" fillId="0" borderId="70" xfId="4496" applyFont="1" applyBorder="1" applyAlignment="1">
      <alignment horizontal="right"/>
    </xf>
    <xf numFmtId="0" fontId="98" fillId="0" borderId="11" xfId="4496" applyFont="1" applyBorder="1"/>
    <xf numFmtId="0" fontId="98" fillId="0" borderId="76" xfId="4496" applyFont="1" applyBorder="1"/>
    <xf numFmtId="0" fontId="98" fillId="0" borderId="70" xfId="4496" applyFont="1" applyBorder="1"/>
    <xf numFmtId="0" fontId="98" fillId="0" borderId="77" xfId="4496" applyFont="1" applyBorder="1"/>
    <xf numFmtId="0" fontId="98" fillId="0" borderId="68" xfId="4496" applyFont="1" applyBorder="1"/>
    <xf numFmtId="0" fontId="98" fillId="0" borderId="71" xfId="4496" applyFont="1" applyBorder="1"/>
    <xf numFmtId="0" fontId="98" fillId="0" borderId="67" xfId="4496" applyFont="1" applyBorder="1" applyAlignment="1">
      <alignment horizontal="right"/>
    </xf>
    <xf numFmtId="0" fontId="98" fillId="0" borderId="68" xfId="4496" applyFont="1" applyBorder="1" applyAlignment="1">
      <alignment horizontal="right"/>
    </xf>
    <xf numFmtId="0" fontId="98" fillId="0" borderId="0" xfId="4496" applyFont="1" applyAlignment="1">
      <alignment horizontal="left" wrapText="1" indent="1"/>
    </xf>
    <xf numFmtId="49" fontId="136" fillId="3" borderId="0" xfId="1192" applyNumberFormat="1" applyFont="1" applyFill="1" applyAlignment="1">
      <alignment horizontal="center" vertical="center"/>
    </xf>
    <xf numFmtId="0" fontId="98" fillId="0" borderId="11" xfId="4496" applyFont="1" applyBorder="1" applyAlignment="1">
      <alignment horizontal="left" indent="1"/>
    </xf>
    <xf numFmtId="0" fontId="98" fillId="0" borderId="11" xfId="4496" applyFont="1" applyBorder="1" applyAlignment="1">
      <alignment horizontal="left" indent="2"/>
    </xf>
    <xf numFmtId="0" fontId="137" fillId="45" borderId="3" xfId="4496" applyFont="1" applyFill="1" applyBorder="1" applyAlignment="1">
      <alignment horizontal="center" vertical="center"/>
    </xf>
    <xf numFmtId="0" fontId="137" fillId="45" borderId="4" xfId="4496" applyFont="1" applyFill="1" applyBorder="1" applyAlignment="1">
      <alignment horizontal="center" vertical="center"/>
    </xf>
    <xf numFmtId="0" fontId="137" fillId="45" borderId="5" xfId="4496" applyFont="1" applyFill="1" applyBorder="1" applyAlignment="1">
      <alignment horizontal="center" vertical="center"/>
    </xf>
    <xf numFmtId="9" fontId="137" fillId="45" borderId="3" xfId="4499" applyFont="1" applyFill="1" applyBorder="1" applyAlignment="1" applyProtection="1">
      <alignment horizontal="center" vertical="center"/>
    </xf>
    <xf numFmtId="9" fontId="137" fillId="45" borderId="4" xfId="4499" applyFont="1" applyFill="1" applyBorder="1" applyAlignment="1" applyProtection="1">
      <alignment horizontal="center" vertical="center"/>
    </xf>
    <xf numFmtId="9" fontId="137" fillId="45" borderId="5" xfId="4499" applyFont="1" applyFill="1" applyBorder="1" applyAlignment="1" applyProtection="1">
      <alignment horizontal="center" vertical="center"/>
    </xf>
    <xf numFmtId="168" fontId="98" fillId="0" borderId="11" xfId="4499" applyNumberFormat="1" applyFont="1" applyFill="1" applyBorder="1" applyAlignment="1" applyProtection="1">
      <alignment horizontal="left" vertical="center" indent="1"/>
    </xf>
    <xf numFmtId="49" fontId="98" fillId="45" borderId="15" xfId="4496" applyNumberFormat="1" applyFont="1" applyFill="1" applyBorder="1" applyAlignment="1">
      <alignment horizontal="center" vertical="center" wrapText="1"/>
    </xf>
    <xf numFmtId="49" fontId="98" fillId="45" borderId="13" xfId="4496" applyNumberFormat="1" applyFont="1" applyFill="1" applyBorder="1" applyAlignment="1">
      <alignment horizontal="center" vertical="center" wrapText="1"/>
    </xf>
    <xf numFmtId="0" fontId="137" fillId="0" borderId="68" xfId="4496" applyFont="1" applyBorder="1" applyAlignment="1">
      <alignment horizontal="left" indent="1"/>
    </xf>
    <xf numFmtId="168" fontId="98" fillId="0" borderId="70" xfId="4499" applyNumberFormat="1" applyFont="1" applyFill="1" applyBorder="1" applyAlignment="1" applyProtection="1">
      <alignment horizontal="left" vertical="center" indent="1"/>
    </xf>
    <xf numFmtId="0" fontId="98" fillId="0" borderId="72" xfId="4496" applyFont="1" applyBorder="1" applyAlignment="1">
      <alignment horizontal="right"/>
    </xf>
    <xf numFmtId="0" fontId="98" fillId="0" borderId="11" xfId="4496" applyFont="1" applyBorder="1" applyAlignment="1">
      <alignment horizontal="right"/>
    </xf>
    <xf numFmtId="168" fontId="98" fillId="0" borderId="13" xfId="4499" applyNumberFormat="1" applyFont="1" applyFill="1" applyBorder="1" applyAlignment="1" applyProtection="1">
      <alignment horizontal="left" vertical="center" indent="1"/>
    </xf>
    <xf numFmtId="0" fontId="98" fillId="0" borderId="3" xfId="4496" applyFont="1" applyBorder="1" applyAlignment="1">
      <alignment horizontal="left" indent="1"/>
    </xf>
    <xf numFmtId="0" fontId="98" fillId="0" borderId="4" xfId="4496" applyFont="1" applyBorder="1" applyAlignment="1">
      <alignment horizontal="left" indent="1"/>
    </xf>
    <xf numFmtId="0" fontId="98" fillId="0" borderId="5" xfId="4496" applyFont="1" applyBorder="1" applyAlignment="1">
      <alignment horizontal="left" indent="1"/>
    </xf>
    <xf numFmtId="0" fontId="98" fillId="0" borderId="3" xfId="4496" applyFont="1" applyBorder="1" applyAlignment="1">
      <alignment horizontal="left" indent="2"/>
    </xf>
    <xf numFmtId="0" fontId="98" fillId="0" borderId="4" xfId="4496" applyFont="1" applyBorder="1" applyAlignment="1">
      <alignment horizontal="left" indent="2"/>
    </xf>
    <xf numFmtId="0" fontId="98" fillId="0" borderId="5" xfId="4496" applyFont="1" applyBorder="1" applyAlignment="1">
      <alignment horizontal="left" indent="2"/>
    </xf>
    <xf numFmtId="0" fontId="98" fillId="0" borderId="0" xfId="4496" applyFont="1" applyAlignment="1">
      <alignment wrapText="1"/>
    </xf>
    <xf numFmtId="0" fontId="137" fillId="0" borderId="75" xfId="4496" applyFont="1" applyBorder="1" applyAlignment="1">
      <alignment horizontal="center" vertical="top" wrapText="1"/>
    </xf>
    <xf numFmtId="0" fontId="137" fillId="0" borderId="74" xfId="4496" applyFont="1" applyBorder="1" applyAlignment="1">
      <alignment horizontal="center" vertical="top" wrapText="1"/>
    </xf>
    <xf numFmtId="0" fontId="98" fillId="0" borderId="0" xfId="4496" applyFont="1" applyAlignment="1">
      <alignment horizontal="left" wrapText="1"/>
    </xf>
    <xf numFmtId="0" fontId="98" fillId="0" borderId="0" xfId="4496" applyFont="1" applyAlignment="1">
      <alignment horizontal="center" vertical="center" wrapText="1"/>
    </xf>
    <xf numFmtId="0" fontId="98" fillId="43" borderId="0" xfId="4496" applyFont="1" applyFill="1" applyAlignment="1" applyProtection="1">
      <alignment horizontal="left" vertical="top" wrapText="1"/>
      <protection locked="0"/>
    </xf>
    <xf numFmtId="0" fontId="98" fillId="43" borderId="6" xfId="4496" applyFont="1" applyFill="1" applyBorder="1" applyAlignment="1" applyProtection="1">
      <alignment horizontal="left" vertical="top" wrapText="1"/>
      <protection locked="0"/>
    </xf>
    <xf numFmtId="0" fontId="22" fillId="0" borderId="6" xfId="271" applyFont="1" applyBorder="1" applyAlignment="1">
      <alignment horizontal="center"/>
    </xf>
    <xf numFmtId="0" fontId="22" fillId="0" borderId="0" xfId="0" applyFont="1" applyAlignment="1" applyProtection="1">
      <alignment wrapText="1"/>
      <protection locked="0"/>
    </xf>
    <xf numFmtId="3" fontId="17" fillId="0" borderId="0" xfId="0" applyNumberFormat="1" applyFont="1" applyAlignment="1">
      <alignment horizontal="left" vertical="top" wrapText="1"/>
    </xf>
    <xf numFmtId="3" fontId="26" fillId="0" borderId="0" xfId="0" applyNumberFormat="1" applyFont="1" applyAlignment="1">
      <alignment horizontal="left" vertical="top" wrapText="1"/>
    </xf>
    <xf numFmtId="0" fontId="17" fillId="43" borderId="0" xfId="0" applyFont="1" applyFill="1" applyAlignment="1">
      <alignment horizontal="left"/>
    </xf>
  </cellXfs>
  <cellStyles count="17184">
    <cellStyle name="20% - Accent1" xfId="1" builtinId="30" customBuiltin="1"/>
    <cellStyle name="20% - Accent1 10" xfId="4504" xr:uid="{00000000-0005-0000-0000-000001000000}"/>
    <cellStyle name="20% - Accent1 10 2" xfId="12954" xr:uid="{CADF0B68-3DBF-4625-AC70-301D06EAAC22}"/>
    <cellStyle name="20% - Accent1 11" xfId="8736" xr:uid="{C13B17CF-F5A3-4A09-BD2A-37A3D659B8BE}"/>
    <cellStyle name="20% - Accent1 2" xfId="2" xr:uid="{00000000-0005-0000-0000-000002000000}"/>
    <cellStyle name="20% - Accent1 2 10" xfId="8737" xr:uid="{2E071452-73E7-4E8A-A611-E09AD7D40B99}"/>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2 2 2" xfId="15516" xr:uid="{1BE6A834-B051-49AC-8D39-AFE87F2957E1}"/>
    <cellStyle name="20% - Accent1 2 2 2 2 2 3" xfId="11298" xr:uid="{3BE8A4FF-5ED6-47A0-9FB6-CF8914EBC8B8}"/>
    <cellStyle name="20% - Accent1 2 2 2 2 3" xfId="4921" xr:uid="{00000000-0005-0000-0000-000008000000}"/>
    <cellStyle name="20% - Accent1 2 2 2 2 3 2" xfId="13371" xr:uid="{52B9F95E-EF70-45B7-BEF0-E3036878F2EA}"/>
    <cellStyle name="20% - Accent1 2 2 2 2 4" xfId="9153" xr:uid="{56B742EC-594C-4A7E-B2FF-DEACE69F0259}"/>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2 2 2" xfId="15929" xr:uid="{C8CBF781-A889-4963-A195-5741E2992B79}"/>
    <cellStyle name="20% - Accent1 2 2 2 3 2 3" xfId="11711" xr:uid="{D50E3E0D-6F3A-4325-9BA9-659FCBCD1086}"/>
    <cellStyle name="20% - Accent1 2 2 2 3 3" xfId="5334" xr:uid="{00000000-0005-0000-0000-00000C000000}"/>
    <cellStyle name="20% - Accent1 2 2 2 3 3 2" xfId="13784" xr:uid="{130B081E-C199-412A-98BC-A418094E3060}"/>
    <cellStyle name="20% - Accent1 2 2 2 3 4" xfId="9566" xr:uid="{3F4C570A-7ED8-4015-96D9-F19E1D5E4F81}"/>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2 2 2" xfId="16342" xr:uid="{28D7BB7E-92A6-4532-A0D5-EB9563489768}"/>
    <cellStyle name="20% - Accent1 2 2 2 4 2 3" xfId="12124" xr:uid="{22C56890-282E-45D1-B90F-B62DEF25A360}"/>
    <cellStyle name="20% - Accent1 2 2 2 4 3" xfId="5747" xr:uid="{00000000-0005-0000-0000-000010000000}"/>
    <cellStyle name="20% - Accent1 2 2 2 4 3 2" xfId="14197" xr:uid="{ABC8B941-2D68-49BF-9912-D2A06929590C}"/>
    <cellStyle name="20% - Accent1 2 2 2 4 4" xfId="9979" xr:uid="{AD836731-0A31-4D92-95F8-6BE9EE0B88EB}"/>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2 2 2" xfId="16755" xr:uid="{024CC3DD-1E2F-4929-8F10-5DC3EE4017C2}"/>
    <cellStyle name="20% - Accent1 2 2 2 5 2 3" xfId="12537" xr:uid="{314E426C-96DF-48DA-A345-84AA7FB0AE73}"/>
    <cellStyle name="20% - Accent1 2 2 2 5 3" xfId="6160" xr:uid="{00000000-0005-0000-0000-000014000000}"/>
    <cellStyle name="20% - Accent1 2 2 2 5 3 2" xfId="14610" xr:uid="{6EE08FCA-2F35-46F0-B0A1-E862297D89F7}"/>
    <cellStyle name="20% - Accent1 2 2 2 5 4" xfId="10392" xr:uid="{FF08BE52-308B-4DC6-B2E8-54984496748F}"/>
    <cellStyle name="20% - Accent1 2 2 2 6" xfId="2267" xr:uid="{00000000-0005-0000-0000-000015000000}"/>
    <cellStyle name="20% - Accent1 2 2 2 6 2" xfId="6573" xr:uid="{00000000-0005-0000-0000-000016000000}"/>
    <cellStyle name="20% - Accent1 2 2 2 6 2 2" xfId="15023" xr:uid="{FA36300E-470C-40BF-BF62-8FD25C7EE9B2}"/>
    <cellStyle name="20% - Accent1 2 2 2 6 3" xfId="10805" xr:uid="{82F2A5CB-5531-40A8-9B8E-CF5582E8531C}"/>
    <cellStyle name="20% - Accent1 2 2 2 7" xfId="4507" xr:uid="{00000000-0005-0000-0000-000017000000}"/>
    <cellStyle name="20% - Accent1 2 2 2 7 2" xfId="12957" xr:uid="{E33D67C0-01CA-4D34-9C24-2F9FD4F2B048}"/>
    <cellStyle name="20% - Accent1 2 2 2 8" xfId="8739" xr:uid="{66AC2633-ED85-4603-9477-E18EF7D22B77}"/>
    <cellStyle name="20% - Accent1 2 2 3" xfId="572" xr:uid="{00000000-0005-0000-0000-000018000000}"/>
    <cellStyle name="20% - Accent1 2 2 3 2" xfId="2843" xr:uid="{00000000-0005-0000-0000-000019000000}"/>
    <cellStyle name="20% - Accent1 2 2 3 2 2" xfId="7065" xr:uid="{00000000-0005-0000-0000-00001A000000}"/>
    <cellStyle name="20% - Accent1 2 2 3 2 2 2" xfId="15515" xr:uid="{D87DB674-FB2D-46FE-B3B9-3EBEA8679559}"/>
    <cellStyle name="20% - Accent1 2 2 3 2 3" xfId="11297" xr:uid="{579D6364-EC60-4A5D-AB20-37584A941CD1}"/>
    <cellStyle name="20% - Accent1 2 2 3 3" xfId="4920" xr:uid="{00000000-0005-0000-0000-00001B000000}"/>
    <cellStyle name="20% - Accent1 2 2 3 3 2" xfId="13370" xr:uid="{7D2DC6DC-9D31-4C04-BA51-D9801D7139ED}"/>
    <cellStyle name="20% - Accent1 2 2 3 4" xfId="9152" xr:uid="{F84CEB96-3765-400A-B331-C842E794858C}"/>
    <cellStyle name="20% - Accent1 2 2 4" xfId="1025" xr:uid="{00000000-0005-0000-0000-00001C000000}"/>
    <cellStyle name="20% - Accent1 2 2 4 2" xfId="3256" xr:uid="{00000000-0005-0000-0000-00001D000000}"/>
    <cellStyle name="20% - Accent1 2 2 4 2 2" xfId="7478" xr:uid="{00000000-0005-0000-0000-00001E000000}"/>
    <cellStyle name="20% - Accent1 2 2 4 2 2 2" xfId="15928" xr:uid="{95A23B75-8002-4C28-9CF0-0F15AA8A1DB4}"/>
    <cellStyle name="20% - Accent1 2 2 4 2 3" xfId="11710" xr:uid="{78CC89D5-D5B1-403D-98C2-C32DE5F4C236}"/>
    <cellStyle name="20% - Accent1 2 2 4 3" xfId="5333" xr:uid="{00000000-0005-0000-0000-00001F000000}"/>
    <cellStyle name="20% - Accent1 2 2 4 3 2" xfId="13783" xr:uid="{ED25CDF7-3088-4B63-BCD7-2481148042FF}"/>
    <cellStyle name="20% - Accent1 2 2 4 4" xfId="9565" xr:uid="{4503BAC1-50D7-4AAD-B18F-6A11C0B2CAEA}"/>
    <cellStyle name="20% - Accent1 2 2 5" xfId="1439" xr:uid="{00000000-0005-0000-0000-000020000000}"/>
    <cellStyle name="20% - Accent1 2 2 5 2" xfId="3669" xr:uid="{00000000-0005-0000-0000-000021000000}"/>
    <cellStyle name="20% - Accent1 2 2 5 2 2" xfId="7891" xr:uid="{00000000-0005-0000-0000-000022000000}"/>
    <cellStyle name="20% - Accent1 2 2 5 2 2 2" xfId="16341" xr:uid="{079E9EC2-03FF-48FE-8A0C-CAC9A42B90CD}"/>
    <cellStyle name="20% - Accent1 2 2 5 2 3" xfId="12123" xr:uid="{9FC4CA09-E0FD-465C-9EC2-752D997C5804}"/>
    <cellStyle name="20% - Accent1 2 2 5 3" xfId="5746" xr:uid="{00000000-0005-0000-0000-000023000000}"/>
    <cellStyle name="20% - Accent1 2 2 5 3 2" xfId="14196" xr:uid="{B46BE6F9-CD7D-4833-B4B3-1C61ED6E9E94}"/>
    <cellStyle name="20% - Accent1 2 2 5 4" xfId="9978" xr:uid="{1AD00736-268B-4673-A99E-A887FEF6B4B0}"/>
    <cellStyle name="20% - Accent1 2 2 6" xfId="1853" xr:uid="{00000000-0005-0000-0000-000024000000}"/>
    <cellStyle name="20% - Accent1 2 2 6 2" xfId="4082" xr:uid="{00000000-0005-0000-0000-000025000000}"/>
    <cellStyle name="20% - Accent1 2 2 6 2 2" xfId="8304" xr:uid="{00000000-0005-0000-0000-000026000000}"/>
    <cellStyle name="20% - Accent1 2 2 6 2 2 2" xfId="16754" xr:uid="{14718BD3-B573-4890-9C56-F63E2ED2A9D7}"/>
    <cellStyle name="20% - Accent1 2 2 6 2 3" xfId="12536" xr:uid="{617A9642-F54F-4C20-844C-927C5B6A3984}"/>
    <cellStyle name="20% - Accent1 2 2 6 3" xfId="6159" xr:uid="{00000000-0005-0000-0000-000027000000}"/>
    <cellStyle name="20% - Accent1 2 2 6 3 2" xfId="14609" xr:uid="{E2F52FC5-04E3-4EDD-8643-4A0467E5A1FF}"/>
    <cellStyle name="20% - Accent1 2 2 6 4" xfId="10391" xr:uid="{A66A666C-18F2-46A9-A245-664E8F02E37E}"/>
    <cellStyle name="20% - Accent1 2 2 7" xfId="2266" xr:uid="{00000000-0005-0000-0000-000028000000}"/>
    <cellStyle name="20% - Accent1 2 2 7 2" xfId="6572" xr:uid="{00000000-0005-0000-0000-000029000000}"/>
    <cellStyle name="20% - Accent1 2 2 7 2 2" xfId="15022" xr:uid="{70D127C4-AE55-4DA3-9969-F5FFF3D545AA}"/>
    <cellStyle name="20% - Accent1 2 2 7 3" xfId="10804" xr:uid="{D54B2A3E-8608-44DA-AC04-8DD40DAE6284}"/>
    <cellStyle name="20% - Accent1 2 2 8" xfId="4506" xr:uid="{00000000-0005-0000-0000-00002A000000}"/>
    <cellStyle name="20% - Accent1 2 2 8 2" xfId="12956" xr:uid="{8975771F-5EA6-44FE-A866-433C3957D2AA}"/>
    <cellStyle name="20% - Accent1 2 2 9" xfId="8738" xr:uid="{F827C6F7-1F43-416E-AEA9-08B6BC9336C1}"/>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2 2 2" xfId="15517" xr:uid="{FA4E1198-6D55-4005-AC88-AC1F366CF3FB}"/>
    <cellStyle name="20% - Accent1 2 3 2 2 3" xfId="11299" xr:uid="{14F138E6-E2E2-41EE-87EE-0DF7EA72F5E4}"/>
    <cellStyle name="20% - Accent1 2 3 2 3" xfId="4922" xr:uid="{00000000-0005-0000-0000-00002F000000}"/>
    <cellStyle name="20% - Accent1 2 3 2 3 2" xfId="13372" xr:uid="{2FFA6E07-DE37-4392-AA19-F477E1D27FD5}"/>
    <cellStyle name="20% - Accent1 2 3 2 4" xfId="9154" xr:uid="{B5EDB7EC-565D-42A0-8052-CCB5C2566890}"/>
    <cellStyle name="20% - Accent1 2 3 3" xfId="1027" xr:uid="{00000000-0005-0000-0000-000030000000}"/>
    <cellStyle name="20% - Accent1 2 3 3 2" xfId="3258" xr:uid="{00000000-0005-0000-0000-000031000000}"/>
    <cellStyle name="20% - Accent1 2 3 3 2 2" xfId="7480" xr:uid="{00000000-0005-0000-0000-000032000000}"/>
    <cellStyle name="20% - Accent1 2 3 3 2 2 2" xfId="15930" xr:uid="{8FFA2596-E77C-422B-A4C9-4C447D1DAB70}"/>
    <cellStyle name="20% - Accent1 2 3 3 2 3" xfId="11712" xr:uid="{F39D8A44-9F89-4192-973B-A5A65D996120}"/>
    <cellStyle name="20% - Accent1 2 3 3 3" xfId="5335" xr:uid="{00000000-0005-0000-0000-000033000000}"/>
    <cellStyle name="20% - Accent1 2 3 3 3 2" xfId="13785" xr:uid="{91E18F7C-2579-4378-8A15-221ADB53C70A}"/>
    <cellStyle name="20% - Accent1 2 3 3 4" xfId="9567" xr:uid="{D207DF2E-944C-4AA6-B3CC-7C1275FBBFE1}"/>
    <cellStyle name="20% - Accent1 2 3 4" xfId="1441" xr:uid="{00000000-0005-0000-0000-000034000000}"/>
    <cellStyle name="20% - Accent1 2 3 4 2" xfId="3671" xr:uid="{00000000-0005-0000-0000-000035000000}"/>
    <cellStyle name="20% - Accent1 2 3 4 2 2" xfId="7893" xr:uid="{00000000-0005-0000-0000-000036000000}"/>
    <cellStyle name="20% - Accent1 2 3 4 2 2 2" xfId="16343" xr:uid="{AF4E0B28-4A08-4B6C-9C9B-A4F388DF85DE}"/>
    <cellStyle name="20% - Accent1 2 3 4 2 3" xfId="12125" xr:uid="{C8C0DEC6-6001-4846-9AFF-0F684A71FD98}"/>
    <cellStyle name="20% - Accent1 2 3 4 3" xfId="5748" xr:uid="{00000000-0005-0000-0000-000037000000}"/>
    <cellStyle name="20% - Accent1 2 3 4 3 2" xfId="14198" xr:uid="{261FFAB8-D09F-437B-94E5-7CC9680F7F5C}"/>
    <cellStyle name="20% - Accent1 2 3 4 4" xfId="9980" xr:uid="{B32F85FE-D93D-4B13-9986-65F91BE42C26}"/>
    <cellStyle name="20% - Accent1 2 3 5" xfId="1855" xr:uid="{00000000-0005-0000-0000-000038000000}"/>
    <cellStyle name="20% - Accent1 2 3 5 2" xfId="4084" xr:uid="{00000000-0005-0000-0000-000039000000}"/>
    <cellStyle name="20% - Accent1 2 3 5 2 2" xfId="8306" xr:uid="{00000000-0005-0000-0000-00003A000000}"/>
    <cellStyle name="20% - Accent1 2 3 5 2 2 2" xfId="16756" xr:uid="{A75C778E-863E-439F-A9C6-1A1BF41D9A38}"/>
    <cellStyle name="20% - Accent1 2 3 5 2 3" xfId="12538" xr:uid="{9CA317EF-4496-4283-B4F2-702BB1E66F75}"/>
    <cellStyle name="20% - Accent1 2 3 5 3" xfId="6161" xr:uid="{00000000-0005-0000-0000-00003B000000}"/>
    <cellStyle name="20% - Accent1 2 3 5 3 2" xfId="14611" xr:uid="{59EFA072-813F-4C3E-BE1F-93F52E0D5624}"/>
    <cellStyle name="20% - Accent1 2 3 5 4" xfId="10393" xr:uid="{5DD90FA3-7BE8-45D1-9032-96E7AC0CC3E6}"/>
    <cellStyle name="20% - Accent1 2 3 6" xfId="2268" xr:uid="{00000000-0005-0000-0000-00003C000000}"/>
    <cellStyle name="20% - Accent1 2 3 6 2" xfId="6574" xr:uid="{00000000-0005-0000-0000-00003D000000}"/>
    <cellStyle name="20% - Accent1 2 3 6 2 2" xfId="15024" xr:uid="{D42B80D1-2EF8-4D9A-AB74-364A95847D5F}"/>
    <cellStyle name="20% - Accent1 2 3 6 3" xfId="10806" xr:uid="{E8858AA6-C42A-4D86-8D4D-3B2B73DD7ABA}"/>
    <cellStyle name="20% - Accent1 2 3 7" xfId="4508" xr:uid="{00000000-0005-0000-0000-00003E000000}"/>
    <cellStyle name="20% - Accent1 2 3 7 2" xfId="12958" xr:uid="{B2942360-3F53-4BBC-8099-50934CEEFD27}"/>
    <cellStyle name="20% - Accent1 2 3 8" xfId="8740" xr:uid="{050E4455-D540-446F-9F83-4A93AD2E8EB5}"/>
    <cellStyle name="20% - Accent1 2 4" xfId="571" xr:uid="{00000000-0005-0000-0000-00003F000000}"/>
    <cellStyle name="20% - Accent1 2 4 2" xfId="2842" xr:uid="{00000000-0005-0000-0000-000040000000}"/>
    <cellStyle name="20% - Accent1 2 4 2 2" xfId="7064" xr:uid="{00000000-0005-0000-0000-000041000000}"/>
    <cellStyle name="20% - Accent1 2 4 2 2 2" xfId="15514" xr:uid="{82658F61-7FF4-4BF4-8C84-36AE9C235763}"/>
    <cellStyle name="20% - Accent1 2 4 2 3" xfId="11296" xr:uid="{CE0CBDB3-B412-4733-9BA3-00170DDF6B93}"/>
    <cellStyle name="20% - Accent1 2 4 3" xfId="4919" xr:uid="{00000000-0005-0000-0000-000042000000}"/>
    <cellStyle name="20% - Accent1 2 4 3 2" xfId="13369" xr:uid="{DA20605B-9673-4741-8C96-BAD21A736A2C}"/>
    <cellStyle name="20% - Accent1 2 4 4" xfId="9151" xr:uid="{70E86022-E01E-4296-8B71-1A1364B3B36E}"/>
    <cellStyle name="20% - Accent1 2 5" xfId="1024" xr:uid="{00000000-0005-0000-0000-000043000000}"/>
    <cellStyle name="20% - Accent1 2 5 2" xfId="3255" xr:uid="{00000000-0005-0000-0000-000044000000}"/>
    <cellStyle name="20% - Accent1 2 5 2 2" xfId="7477" xr:uid="{00000000-0005-0000-0000-000045000000}"/>
    <cellStyle name="20% - Accent1 2 5 2 2 2" xfId="15927" xr:uid="{7C77D70D-08E6-4228-929C-2052EAB3D4F1}"/>
    <cellStyle name="20% - Accent1 2 5 2 3" xfId="11709" xr:uid="{23007839-9DA0-40F9-8DE1-728C88881C14}"/>
    <cellStyle name="20% - Accent1 2 5 3" xfId="5332" xr:uid="{00000000-0005-0000-0000-000046000000}"/>
    <cellStyle name="20% - Accent1 2 5 3 2" xfId="13782" xr:uid="{F10BD484-E911-464D-B245-697FBC927282}"/>
    <cellStyle name="20% - Accent1 2 5 4" xfId="9564" xr:uid="{99E3AEE3-E7C6-4FA4-AB92-64BDEF286F6B}"/>
    <cellStyle name="20% - Accent1 2 6" xfId="1438" xr:uid="{00000000-0005-0000-0000-000047000000}"/>
    <cellStyle name="20% - Accent1 2 6 2" xfId="3668" xr:uid="{00000000-0005-0000-0000-000048000000}"/>
    <cellStyle name="20% - Accent1 2 6 2 2" xfId="7890" xr:uid="{00000000-0005-0000-0000-000049000000}"/>
    <cellStyle name="20% - Accent1 2 6 2 2 2" xfId="16340" xr:uid="{693834B3-2822-4E6E-926E-DBA128E74738}"/>
    <cellStyle name="20% - Accent1 2 6 2 3" xfId="12122" xr:uid="{964B9717-1673-4350-811A-8E2FE6C32BB4}"/>
    <cellStyle name="20% - Accent1 2 6 3" xfId="5745" xr:uid="{00000000-0005-0000-0000-00004A000000}"/>
    <cellStyle name="20% - Accent1 2 6 3 2" xfId="14195" xr:uid="{DB73528C-19CA-4C13-A62D-BAF1367C3D4E}"/>
    <cellStyle name="20% - Accent1 2 6 4" xfId="9977" xr:uid="{0296573F-C74F-4772-BBE7-8473664EDA44}"/>
    <cellStyle name="20% - Accent1 2 7" xfId="1852" xr:uid="{00000000-0005-0000-0000-00004B000000}"/>
    <cellStyle name="20% - Accent1 2 7 2" xfId="4081" xr:uid="{00000000-0005-0000-0000-00004C000000}"/>
    <cellStyle name="20% - Accent1 2 7 2 2" xfId="8303" xr:uid="{00000000-0005-0000-0000-00004D000000}"/>
    <cellStyle name="20% - Accent1 2 7 2 2 2" xfId="16753" xr:uid="{6CE5A8D5-F0DA-423C-810C-56A2CF8B3598}"/>
    <cellStyle name="20% - Accent1 2 7 2 3" xfId="12535" xr:uid="{EC1581BA-6CBD-47FC-B0E3-9BFF789558EC}"/>
    <cellStyle name="20% - Accent1 2 7 3" xfId="6158" xr:uid="{00000000-0005-0000-0000-00004E000000}"/>
    <cellStyle name="20% - Accent1 2 7 3 2" xfId="14608" xr:uid="{6A52FEA6-B069-4F99-81DE-4EDDF3068434}"/>
    <cellStyle name="20% - Accent1 2 7 4" xfId="10390" xr:uid="{2E58AB06-88F8-4E42-B4DA-EDA6D349CEBA}"/>
    <cellStyle name="20% - Accent1 2 8" xfId="2265" xr:uid="{00000000-0005-0000-0000-00004F000000}"/>
    <cellStyle name="20% - Accent1 2 8 2" xfId="6571" xr:uid="{00000000-0005-0000-0000-000050000000}"/>
    <cellStyle name="20% - Accent1 2 8 2 2" xfId="15021" xr:uid="{D01B0272-3687-4056-B084-CA722313A1BC}"/>
    <cellStyle name="20% - Accent1 2 8 3" xfId="10803" xr:uid="{3A3FA30C-A771-448E-B1C6-77308DA81152}"/>
    <cellStyle name="20% - Accent1 2 9" xfId="4505" xr:uid="{00000000-0005-0000-0000-000051000000}"/>
    <cellStyle name="20% - Accent1 2 9 2" xfId="12955" xr:uid="{080A774C-84C8-4E30-8643-1ED518BE5A87}"/>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2 2 2" xfId="15519" xr:uid="{BAF180BF-2018-4F89-BBE5-54D78A6E19A7}"/>
    <cellStyle name="20% - Accent1 3 2 2 2 3" xfId="11301" xr:uid="{2A9CEC8D-CC7E-4CC4-92DB-350FB4F1F24F}"/>
    <cellStyle name="20% - Accent1 3 2 2 3" xfId="4924" xr:uid="{00000000-0005-0000-0000-000057000000}"/>
    <cellStyle name="20% - Accent1 3 2 2 3 2" xfId="13374" xr:uid="{C306328A-8B0D-4247-9672-BE3232983BEA}"/>
    <cellStyle name="20% - Accent1 3 2 2 4" xfId="9156" xr:uid="{2D517E5F-A878-4E81-8127-6885BF33E2B8}"/>
    <cellStyle name="20% - Accent1 3 2 3" xfId="1029" xr:uid="{00000000-0005-0000-0000-000058000000}"/>
    <cellStyle name="20% - Accent1 3 2 3 2" xfId="3260" xr:uid="{00000000-0005-0000-0000-000059000000}"/>
    <cellStyle name="20% - Accent1 3 2 3 2 2" xfId="7482" xr:uid="{00000000-0005-0000-0000-00005A000000}"/>
    <cellStyle name="20% - Accent1 3 2 3 2 2 2" xfId="15932" xr:uid="{0EA44A1A-1793-438A-BEBC-BE4AABBA76AC}"/>
    <cellStyle name="20% - Accent1 3 2 3 2 3" xfId="11714" xr:uid="{28A41A43-2D35-46AB-929F-16D8BD7CE3EB}"/>
    <cellStyle name="20% - Accent1 3 2 3 3" xfId="5337" xr:uid="{00000000-0005-0000-0000-00005B000000}"/>
    <cellStyle name="20% - Accent1 3 2 3 3 2" xfId="13787" xr:uid="{7B4E3ECD-EB62-4672-A43C-D9793C54A285}"/>
    <cellStyle name="20% - Accent1 3 2 3 4" xfId="9569" xr:uid="{80CB644C-3406-4CA9-84E1-4D663E537F71}"/>
    <cellStyle name="20% - Accent1 3 2 4" xfId="1443" xr:uid="{00000000-0005-0000-0000-00005C000000}"/>
    <cellStyle name="20% - Accent1 3 2 4 2" xfId="3673" xr:uid="{00000000-0005-0000-0000-00005D000000}"/>
    <cellStyle name="20% - Accent1 3 2 4 2 2" xfId="7895" xr:uid="{00000000-0005-0000-0000-00005E000000}"/>
    <cellStyle name="20% - Accent1 3 2 4 2 2 2" xfId="16345" xr:uid="{681D869C-7973-4E99-B06B-30F6163F43A6}"/>
    <cellStyle name="20% - Accent1 3 2 4 2 3" xfId="12127" xr:uid="{B61D5541-5DA8-41F1-A3D3-A80257C2EEA4}"/>
    <cellStyle name="20% - Accent1 3 2 4 3" xfId="5750" xr:uid="{00000000-0005-0000-0000-00005F000000}"/>
    <cellStyle name="20% - Accent1 3 2 4 3 2" xfId="14200" xr:uid="{12E8778D-2357-4373-9086-F89EA0D0BB2C}"/>
    <cellStyle name="20% - Accent1 3 2 4 4" xfId="9982" xr:uid="{A3C1280F-9DAC-4CA6-940C-8DEC4A3BCC6B}"/>
    <cellStyle name="20% - Accent1 3 2 5" xfId="1857" xr:uid="{00000000-0005-0000-0000-000060000000}"/>
    <cellStyle name="20% - Accent1 3 2 5 2" xfId="4086" xr:uid="{00000000-0005-0000-0000-000061000000}"/>
    <cellStyle name="20% - Accent1 3 2 5 2 2" xfId="8308" xr:uid="{00000000-0005-0000-0000-000062000000}"/>
    <cellStyle name="20% - Accent1 3 2 5 2 2 2" xfId="16758" xr:uid="{5A911659-111E-4E9E-91D5-DC1F0198E525}"/>
    <cellStyle name="20% - Accent1 3 2 5 2 3" xfId="12540" xr:uid="{3E5352CD-635E-4F5F-B22C-DA45457104A4}"/>
    <cellStyle name="20% - Accent1 3 2 5 3" xfId="6163" xr:uid="{00000000-0005-0000-0000-000063000000}"/>
    <cellStyle name="20% - Accent1 3 2 5 3 2" xfId="14613" xr:uid="{97E1414D-12AC-4943-A6B0-D2311DCD964F}"/>
    <cellStyle name="20% - Accent1 3 2 5 4" xfId="10395" xr:uid="{5D4157B9-E767-4FD5-93F6-F57720962475}"/>
    <cellStyle name="20% - Accent1 3 2 6" xfId="2270" xr:uid="{00000000-0005-0000-0000-000064000000}"/>
    <cellStyle name="20% - Accent1 3 2 6 2" xfId="6576" xr:uid="{00000000-0005-0000-0000-000065000000}"/>
    <cellStyle name="20% - Accent1 3 2 6 2 2" xfId="15026" xr:uid="{7FA6E7CF-ADED-4D30-AB0B-E5097D592400}"/>
    <cellStyle name="20% - Accent1 3 2 6 3" xfId="10808" xr:uid="{F2B132F4-8E4F-47A2-B0EA-3063CBFB978A}"/>
    <cellStyle name="20% - Accent1 3 2 7" xfId="4510" xr:uid="{00000000-0005-0000-0000-000066000000}"/>
    <cellStyle name="20% - Accent1 3 2 7 2" xfId="12960" xr:uid="{C3D7E8E7-E3CC-49EA-9357-092EEB5E7BD3}"/>
    <cellStyle name="20% - Accent1 3 2 8" xfId="8742" xr:uid="{8D77F595-69F0-4C68-A86A-7E85484F9880}"/>
    <cellStyle name="20% - Accent1 3 3" xfId="575" xr:uid="{00000000-0005-0000-0000-000067000000}"/>
    <cellStyle name="20% - Accent1 3 3 2" xfId="2846" xr:uid="{00000000-0005-0000-0000-000068000000}"/>
    <cellStyle name="20% - Accent1 3 3 2 2" xfId="7068" xr:uid="{00000000-0005-0000-0000-000069000000}"/>
    <cellStyle name="20% - Accent1 3 3 2 2 2" xfId="15518" xr:uid="{CE421CCD-0D09-4835-AA4F-84447D3D4093}"/>
    <cellStyle name="20% - Accent1 3 3 2 3" xfId="11300" xr:uid="{1765ECD6-D2A1-463C-998B-8EB72EFB0728}"/>
    <cellStyle name="20% - Accent1 3 3 3" xfId="4923" xr:uid="{00000000-0005-0000-0000-00006A000000}"/>
    <cellStyle name="20% - Accent1 3 3 3 2" xfId="13373" xr:uid="{BBD53896-7BAB-4A34-B9BA-0EE664614EE4}"/>
    <cellStyle name="20% - Accent1 3 3 4" xfId="9155" xr:uid="{F725D6AF-FC59-4129-9009-4A6A02E4EBA4}"/>
    <cellStyle name="20% - Accent1 3 4" xfId="1028" xr:uid="{00000000-0005-0000-0000-00006B000000}"/>
    <cellStyle name="20% - Accent1 3 4 2" xfId="3259" xr:uid="{00000000-0005-0000-0000-00006C000000}"/>
    <cellStyle name="20% - Accent1 3 4 2 2" xfId="7481" xr:uid="{00000000-0005-0000-0000-00006D000000}"/>
    <cellStyle name="20% - Accent1 3 4 2 2 2" xfId="15931" xr:uid="{84564D9D-10A6-4EBD-B8A4-4B2AEA046625}"/>
    <cellStyle name="20% - Accent1 3 4 2 3" xfId="11713" xr:uid="{83ADABDC-CBD6-4EB4-97A7-2331E489B20B}"/>
    <cellStyle name="20% - Accent1 3 4 3" xfId="5336" xr:uid="{00000000-0005-0000-0000-00006E000000}"/>
    <cellStyle name="20% - Accent1 3 4 3 2" xfId="13786" xr:uid="{2AD2AE42-3B70-49AE-9F32-B96798FDFFAA}"/>
    <cellStyle name="20% - Accent1 3 4 4" xfId="9568" xr:uid="{FEE60858-097C-44CD-BAF8-122BC89A5B99}"/>
    <cellStyle name="20% - Accent1 3 5" xfId="1442" xr:uid="{00000000-0005-0000-0000-00006F000000}"/>
    <cellStyle name="20% - Accent1 3 5 2" xfId="3672" xr:uid="{00000000-0005-0000-0000-000070000000}"/>
    <cellStyle name="20% - Accent1 3 5 2 2" xfId="7894" xr:uid="{00000000-0005-0000-0000-000071000000}"/>
    <cellStyle name="20% - Accent1 3 5 2 2 2" xfId="16344" xr:uid="{D02B117A-B8CD-4C57-894B-E3C3BA96B2D9}"/>
    <cellStyle name="20% - Accent1 3 5 2 3" xfId="12126" xr:uid="{5FDE3635-3CA5-49C2-9EE3-3B047E8BD908}"/>
    <cellStyle name="20% - Accent1 3 5 3" xfId="5749" xr:uid="{00000000-0005-0000-0000-000072000000}"/>
    <cellStyle name="20% - Accent1 3 5 3 2" xfId="14199" xr:uid="{227D36EA-087E-4BCA-AFBE-9F5F15833049}"/>
    <cellStyle name="20% - Accent1 3 5 4" xfId="9981" xr:uid="{D6E94482-3AD9-43F9-A71D-B48DAB81C26C}"/>
    <cellStyle name="20% - Accent1 3 6" xfId="1856" xr:uid="{00000000-0005-0000-0000-000073000000}"/>
    <cellStyle name="20% - Accent1 3 6 2" xfId="4085" xr:uid="{00000000-0005-0000-0000-000074000000}"/>
    <cellStyle name="20% - Accent1 3 6 2 2" xfId="8307" xr:uid="{00000000-0005-0000-0000-000075000000}"/>
    <cellStyle name="20% - Accent1 3 6 2 2 2" xfId="16757" xr:uid="{4BE13B5E-9C91-47DE-BDF9-443DDFD21F5E}"/>
    <cellStyle name="20% - Accent1 3 6 2 3" xfId="12539" xr:uid="{70E6B6DC-DD3C-4E7C-A3A6-716DD0649DD8}"/>
    <cellStyle name="20% - Accent1 3 6 3" xfId="6162" xr:uid="{00000000-0005-0000-0000-000076000000}"/>
    <cellStyle name="20% - Accent1 3 6 3 2" xfId="14612" xr:uid="{93F44C30-2229-4422-8999-5F23FF9A6531}"/>
    <cellStyle name="20% - Accent1 3 6 4" xfId="10394" xr:uid="{DB78722E-2D5A-49EB-8DCB-8AAE4A8F1139}"/>
    <cellStyle name="20% - Accent1 3 7" xfId="2269" xr:uid="{00000000-0005-0000-0000-000077000000}"/>
    <cellStyle name="20% - Accent1 3 7 2" xfId="6575" xr:uid="{00000000-0005-0000-0000-000078000000}"/>
    <cellStyle name="20% - Accent1 3 7 2 2" xfId="15025" xr:uid="{2C2319CE-F740-464E-B1C7-15B24226ABFB}"/>
    <cellStyle name="20% - Accent1 3 7 3" xfId="10807" xr:uid="{9656CEA1-85F2-4AD1-9707-D10A5D341A46}"/>
    <cellStyle name="20% - Accent1 3 8" xfId="4509" xr:uid="{00000000-0005-0000-0000-000079000000}"/>
    <cellStyle name="20% - Accent1 3 8 2" xfId="12959" xr:uid="{63EB0900-B513-453D-9A95-F6AB935DB2AF}"/>
    <cellStyle name="20% - Accent1 3 9" xfId="8741" xr:uid="{AADA125F-D0B3-40F3-9F4A-5485952CDCD6}"/>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2 2 2" xfId="15520" xr:uid="{5D7C5557-E94F-4814-A998-D7CA8CB31B2C}"/>
    <cellStyle name="20% - Accent1 4 2 2 3" xfId="11302" xr:uid="{D96CE9AC-7E8C-4EB1-B7E2-39D6A4BC3870}"/>
    <cellStyle name="20% - Accent1 4 2 3" xfId="4925" xr:uid="{00000000-0005-0000-0000-00007E000000}"/>
    <cellStyle name="20% - Accent1 4 2 3 2" xfId="13375" xr:uid="{EF1D3B46-926B-44F5-B57D-B1F9BB96CC75}"/>
    <cellStyle name="20% - Accent1 4 2 4" xfId="9157" xr:uid="{D3057863-3472-4C57-B1FE-5BA1B98665D5}"/>
    <cellStyle name="20% - Accent1 4 3" xfId="1030" xr:uid="{00000000-0005-0000-0000-00007F000000}"/>
    <cellStyle name="20% - Accent1 4 3 2" xfId="3261" xr:uid="{00000000-0005-0000-0000-000080000000}"/>
    <cellStyle name="20% - Accent1 4 3 2 2" xfId="7483" xr:uid="{00000000-0005-0000-0000-000081000000}"/>
    <cellStyle name="20% - Accent1 4 3 2 2 2" xfId="15933" xr:uid="{DB1D6176-4FD6-4899-BF08-A51C9590996D}"/>
    <cellStyle name="20% - Accent1 4 3 2 3" xfId="11715" xr:uid="{5AF55C69-1548-4C20-85DD-5C2485A0A9D0}"/>
    <cellStyle name="20% - Accent1 4 3 3" xfId="5338" xr:uid="{00000000-0005-0000-0000-000082000000}"/>
    <cellStyle name="20% - Accent1 4 3 3 2" xfId="13788" xr:uid="{6DE82189-0C16-49B5-823B-910C48F61216}"/>
    <cellStyle name="20% - Accent1 4 3 4" xfId="9570" xr:uid="{60835563-3525-4894-A993-ADF5650DE911}"/>
    <cellStyle name="20% - Accent1 4 4" xfId="1444" xr:uid="{00000000-0005-0000-0000-000083000000}"/>
    <cellStyle name="20% - Accent1 4 4 2" xfId="3674" xr:uid="{00000000-0005-0000-0000-000084000000}"/>
    <cellStyle name="20% - Accent1 4 4 2 2" xfId="7896" xr:uid="{00000000-0005-0000-0000-000085000000}"/>
    <cellStyle name="20% - Accent1 4 4 2 2 2" xfId="16346" xr:uid="{9E499AB9-36FD-4BB1-9A6B-581657432F49}"/>
    <cellStyle name="20% - Accent1 4 4 2 3" xfId="12128" xr:uid="{A467C602-E6A9-4DB6-B0B2-FDC9F0A17736}"/>
    <cellStyle name="20% - Accent1 4 4 3" xfId="5751" xr:uid="{00000000-0005-0000-0000-000086000000}"/>
    <cellStyle name="20% - Accent1 4 4 3 2" xfId="14201" xr:uid="{AB77EDEC-D813-460D-BA38-B079C3018865}"/>
    <cellStyle name="20% - Accent1 4 4 4" xfId="9983" xr:uid="{72B0AB7E-FE6D-4334-B16C-0C33E4ABA0EC}"/>
    <cellStyle name="20% - Accent1 4 5" xfId="1858" xr:uid="{00000000-0005-0000-0000-000087000000}"/>
    <cellStyle name="20% - Accent1 4 5 2" xfId="4087" xr:uid="{00000000-0005-0000-0000-000088000000}"/>
    <cellStyle name="20% - Accent1 4 5 2 2" xfId="8309" xr:uid="{00000000-0005-0000-0000-000089000000}"/>
    <cellStyle name="20% - Accent1 4 5 2 2 2" xfId="16759" xr:uid="{03651A5F-2D1A-4861-9311-E0444B8A91DF}"/>
    <cellStyle name="20% - Accent1 4 5 2 3" xfId="12541" xr:uid="{1F6A1B42-A82A-491D-948B-F5EFD25C4D95}"/>
    <cellStyle name="20% - Accent1 4 5 3" xfId="6164" xr:uid="{00000000-0005-0000-0000-00008A000000}"/>
    <cellStyle name="20% - Accent1 4 5 3 2" xfId="14614" xr:uid="{EAF38027-4BCA-480F-9433-2ECF4B02BA4D}"/>
    <cellStyle name="20% - Accent1 4 5 4" xfId="10396" xr:uid="{F790FBAF-C517-498F-8C23-E7339AF7B7D9}"/>
    <cellStyle name="20% - Accent1 4 6" xfId="2271" xr:uid="{00000000-0005-0000-0000-00008B000000}"/>
    <cellStyle name="20% - Accent1 4 6 2" xfId="6577" xr:uid="{00000000-0005-0000-0000-00008C000000}"/>
    <cellStyle name="20% - Accent1 4 6 2 2" xfId="15027" xr:uid="{148FD663-C259-4415-884C-B17CB8C37E80}"/>
    <cellStyle name="20% - Accent1 4 6 3" xfId="10809" xr:uid="{13BAC45C-442F-415C-9077-19367BC4EBF1}"/>
    <cellStyle name="20% - Accent1 4 7" xfId="4511" xr:uid="{00000000-0005-0000-0000-00008D000000}"/>
    <cellStyle name="20% - Accent1 4 7 2" xfId="12961" xr:uid="{B2D04763-AAB8-4A3F-8C09-B9E613C944A5}"/>
    <cellStyle name="20% - Accent1 4 8" xfId="8743" xr:uid="{A8AE5413-C3ED-435F-A2E5-8C661B2FD3C8}"/>
    <cellStyle name="20% - Accent1 5" xfId="570" xr:uid="{00000000-0005-0000-0000-00008E000000}"/>
    <cellStyle name="20% - Accent1 5 2" xfId="2841" xr:uid="{00000000-0005-0000-0000-00008F000000}"/>
    <cellStyle name="20% - Accent1 5 2 2" xfId="7063" xr:uid="{00000000-0005-0000-0000-000090000000}"/>
    <cellStyle name="20% - Accent1 5 2 2 2" xfId="15513" xr:uid="{639204E6-D913-4E18-A303-C31DFCE1C710}"/>
    <cellStyle name="20% - Accent1 5 2 3" xfId="11295" xr:uid="{C72BD72A-4D45-4D14-A5C2-2280E91EEE37}"/>
    <cellStyle name="20% - Accent1 5 3" xfId="4918" xr:uid="{00000000-0005-0000-0000-000091000000}"/>
    <cellStyle name="20% - Accent1 5 3 2" xfId="13368" xr:uid="{92B6E8F5-5A30-49C0-A0FC-EE9633855C24}"/>
    <cellStyle name="20% - Accent1 5 4" xfId="9150" xr:uid="{44BE9C4B-EE19-45AC-9778-F66E63810979}"/>
    <cellStyle name="20% - Accent1 6" xfId="1023" xr:uid="{00000000-0005-0000-0000-000092000000}"/>
    <cellStyle name="20% - Accent1 6 2" xfId="3254" xr:uid="{00000000-0005-0000-0000-000093000000}"/>
    <cellStyle name="20% - Accent1 6 2 2" xfId="7476" xr:uid="{00000000-0005-0000-0000-000094000000}"/>
    <cellStyle name="20% - Accent1 6 2 2 2" xfId="15926" xr:uid="{7FD34C1D-0146-4BA5-AB96-F20D83E9D2D5}"/>
    <cellStyle name="20% - Accent1 6 2 3" xfId="11708" xr:uid="{A0CF741E-F102-4A57-BDAD-7D1D648E3E5B}"/>
    <cellStyle name="20% - Accent1 6 3" xfId="5331" xr:uid="{00000000-0005-0000-0000-000095000000}"/>
    <cellStyle name="20% - Accent1 6 3 2" xfId="13781" xr:uid="{3D5849FD-89CB-4FD4-A25A-2146B867B689}"/>
    <cellStyle name="20% - Accent1 6 4" xfId="9563" xr:uid="{4C4EAA1A-2726-4D7A-906C-007F02A49730}"/>
    <cellStyle name="20% - Accent1 7" xfId="1437" xr:uid="{00000000-0005-0000-0000-000096000000}"/>
    <cellStyle name="20% - Accent1 7 2" xfId="3667" xr:uid="{00000000-0005-0000-0000-000097000000}"/>
    <cellStyle name="20% - Accent1 7 2 2" xfId="7889" xr:uid="{00000000-0005-0000-0000-000098000000}"/>
    <cellStyle name="20% - Accent1 7 2 2 2" xfId="16339" xr:uid="{B37E4681-B243-4814-AC16-40AF72583A93}"/>
    <cellStyle name="20% - Accent1 7 2 3" xfId="12121" xr:uid="{517229D9-4844-407D-817C-D3F80D4CC665}"/>
    <cellStyle name="20% - Accent1 7 3" xfId="5744" xr:uid="{00000000-0005-0000-0000-000099000000}"/>
    <cellStyle name="20% - Accent1 7 3 2" xfId="14194" xr:uid="{96CFF576-0B9D-47CD-97F7-2401913598B6}"/>
    <cellStyle name="20% - Accent1 7 4" xfId="9976" xr:uid="{17BFC369-883B-4AA1-BA0F-2E194BCA9719}"/>
    <cellStyle name="20% - Accent1 8" xfId="1851" xr:uid="{00000000-0005-0000-0000-00009A000000}"/>
    <cellStyle name="20% - Accent1 8 2" xfId="4080" xr:uid="{00000000-0005-0000-0000-00009B000000}"/>
    <cellStyle name="20% - Accent1 8 2 2" xfId="8302" xr:uid="{00000000-0005-0000-0000-00009C000000}"/>
    <cellStyle name="20% - Accent1 8 2 2 2" xfId="16752" xr:uid="{E34B05F7-E2A2-4B34-B9A0-7CCC520CC6CF}"/>
    <cellStyle name="20% - Accent1 8 2 3" xfId="12534" xr:uid="{59BFF029-40F8-434E-B4E2-40CF80F7DC7D}"/>
    <cellStyle name="20% - Accent1 8 3" xfId="6157" xr:uid="{00000000-0005-0000-0000-00009D000000}"/>
    <cellStyle name="20% - Accent1 8 3 2" xfId="14607" xr:uid="{CD0465B9-247F-4805-AC72-120942785C20}"/>
    <cellStyle name="20% - Accent1 8 4" xfId="10389" xr:uid="{AD37F22C-AB2E-4B36-AB65-230C3C773A53}"/>
    <cellStyle name="20% - Accent1 9" xfId="2264" xr:uid="{00000000-0005-0000-0000-00009E000000}"/>
    <cellStyle name="20% - Accent1 9 2" xfId="6570" xr:uid="{00000000-0005-0000-0000-00009F000000}"/>
    <cellStyle name="20% - Accent1 9 2 2" xfId="15020" xr:uid="{48BC63D1-F4D6-4C10-923C-024D3E0F7950}"/>
    <cellStyle name="20% - Accent1 9 3" xfId="10802" xr:uid="{AC6F5928-5376-4DE2-A06C-B94FCE7A3BB7}"/>
    <cellStyle name="20% - Accent2" xfId="9" builtinId="34" customBuiltin="1"/>
    <cellStyle name="20% - Accent2 10" xfId="4512" xr:uid="{00000000-0005-0000-0000-0000A1000000}"/>
    <cellStyle name="20% - Accent2 10 2" xfId="12962" xr:uid="{71C35A14-2B73-4D87-8BC9-0F98AEF4BF49}"/>
    <cellStyle name="20% - Accent2 11" xfId="8744" xr:uid="{B8FEE098-E165-416E-8433-66E89CBE94A3}"/>
    <cellStyle name="20% - Accent2 2" xfId="10" xr:uid="{00000000-0005-0000-0000-0000A2000000}"/>
    <cellStyle name="20% - Accent2 2 10" xfId="8745" xr:uid="{67A8CAE4-842C-4CEE-BC70-4EE24ECF9259}"/>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2 2 2" xfId="15524" xr:uid="{BC079988-8F27-48FF-9F50-5215FEA86C14}"/>
    <cellStyle name="20% - Accent2 2 2 2 2 2 3" xfId="11306" xr:uid="{26B94CAE-72D4-429B-BE1D-B3D78CCBBB4C}"/>
    <cellStyle name="20% - Accent2 2 2 2 2 3" xfId="4929" xr:uid="{00000000-0005-0000-0000-0000A8000000}"/>
    <cellStyle name="20% - Accent2 2 2 2 2 3 2" xfId="13379" xr:uid="{2F67B175-ADAC-46D8-A3E2-0DECAA5F28D6}"/>
    <cellStyle name="20% - Accent2 2 2 2 2 4" xfId="9161" xr:uid="{CA292FC9-79BC-4CF6-B6E6-4FDD69F98DFD}"/>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2 2 2" xfId="15937" xr:uid="{F5D01860-18C2-4050-82FE-DB6DF98ED724}"/>
    <cellStyle name="20% - Accent2 2 2 2 3 2 3" xfId="11719" xr:uid="{08BE755C-D682-404C-8E66-F722176847B1}"/>
    <cellStyle name="20% - Accent2 2 2 2 3 3" xfId="5342" xr:uid="{00000000-0005-0000-0000-0000AC000000}"/>
    <cellStyle name="20% - Accent2 2 2 2 3 3 2" xfId="13792" xr:uid="{E73E0924-808D-41EF-AD46-162AC004DB3A}"/>
    <cellStyle name="20% - Accent2 2 2 2 3 4" xfId="9574" xr:uid="{1B3B4847-026A-4CBF-9FF6-AFB7DCE47BA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2 2 2" xfId="16350" xr:uid="{488F3CBC-016C-4A09-B2CF-B9702181CA36}"/>
    <cellStyle name="20% - Accent2 2 2 2 4 2 3" xfId="12132" xr:uid="{D1C738B2-6733-403F-9F4D-205ED1024F55}"/>
    <cellStyle name="20% - Accent2 2 2 2 4 3" xfId="5755" xr:uid="{00000000-0005-0000-0000-0000B0000000}"/>
    <cellStyle name="20% - Accent2 2 2 2 4 3 2" xfId="14205" xr:uid="{96E7BC13-D231-41E1-A0CB-87C841A8202B}"/>
    <cellStyle name="20% - Accent2 2 2 2 4 4" xfId="9987" xr:uid="{97985D8C-CDA4-4603-A874-FD5E11AE2D97}"/>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2 2 2" xfId="16763" xr:uid="{7F149E31-50AE-4F2D-A5A4-2EEAF393F015}"/>
    <cellStyle name="20% - Accent2 2 2 2 5 2 3" xfId="12545" xr:uid="{461B1739-561C-4996-A217-3E3E02E31733}"/>
    <cellStyle name="20% - Accent2 2 2 2 5 3" xfId="6168" xr:uid="{00000000-0005-0000-0000-0000B4000000}"/>
    <cellStyle name="20% - Accent2 2 2 2 5 3 2" xfId="14618" xr:uid="{4BFA6820-D957-4249-8B83-E423CD3C2633}"/>
    <cellStyle name="20% - Accent2 2 2 2 5 4" xfId="10400" xr:uid="{563F485F-DE70-4431-9C29-449329486DF3}"/>
    <cellStyle name="20% - Accent2 2 2 2 6" xfId="2275" xr:uid="{00000000-0005-0000-0000-0000B5000000}"/>
    <cellStyle name="20% - Accent2 2 2 2 6 2" xfId="6581" xr:uid="{00000000-0005-0000-0000-0000B6000000}"/>
    <cellStyle name="20% - Accent2 2 2 2 6 2 2" xfId="15031" xr:uid="{4D486CC8-59EB-4354-8087-F71A82820A34}"/>
    <cellStyle name="20% - Accent2 2 2 2 6 3" xfId="10813" xr:uid="{0B63999C-CEA5-4701-BFF0-3B1FBACCBDBE}"/>
    <cellStyle name="20% - Accent2 2 2 2 7" xfId="4515" xr:uid="{00000000-0005-0000-0000-0000B7000000}"/>
    <cellStyle name="20% - Accent2 2 2 2 7 2" xfId="12965" xr:uid="{A52EB2DC-1B29-490D-BB0B-4AD3F1AACC1E}"/>
    <cellStyle name="20% - Accent2 2 2 2 8" xfId="8747" xr:uid="{6CDA13D7-566C-4A46-8D08-D4E447E0EA9C}"/>
    <cellStyle name="20% - Accent2 2 2 3" xfId="580" xr:uid="{00000000-0005-0000-0000-0000B8000000}"/>
    <cellStyle name="20% - Accent2 2 2 3 2" xfId="2851" xr:uid="{00000000-0005-0000-0000-0000B9000000}"/>
    <cellStyle name="20% - Accent2 2 2 3 2 2" xfId="7073" xr:uid="{00000000-0005-0000-0000-0000BA000000}"/>
    <cellStyle name="20% - Accent2 2 2 3 2 2 2" xfId="15523" xr:uid="{86DFA5DA-B71B-47CD-B15B-2A46F30940CE}"/>
    <cellStyle name="20% - Accent2 2 2 3 2 3" xfId="11305" xr:uid="{2FB6F7EC-C126-4932-81B7-CA3ED6A21CEF}"/>
    <cellStyle name="20% - Accent2 2 2 3 3" xfId="4928" xr:uid="{00000000-0005-0000-0000-0000BB000000}"/>
    <cellStyle name="20% - Accent2 2 2 3 3 2" xfId="13378" xr:uid="{D151A943-41DA-429B-A0E4-5EC6D68B8D60}"/>
    <cellStyle name="20% - Accent2 2 2 3 4" xfId="9160" xr:uid="{63B7ACD9-16A2-4E38-97FF-046B9580A53F}"/>
    <cellStyle name="20% - Accent2 2 2 4" xfId="1033" xr:uid="{00000000-0005-0000-0000-0000BC000000}"/>
    <cellStyle name="20% - Accent2 2 2 4 2" xfId="3264" xr:uid="{00000000-0005-0000-0000-0000BD000000}"/>
    <cellStyle name="20% - Accent2 2 2 4 2 2" xfId="7486" xr:uid="{00000000-0005-0000-0000-0000BE000000}"/>
    <cellStyle name="20% - Accent2 2 2 4 2 2 2" xfId="15936" xr:uid="{4B88DBDE-6389-45DF-A758-39A169E5AE23}"/>
    <cellStyle name="20% - Accent2 2 2 4 2 3" xfId="11718" xr:uid="{514128C9-8179-489F-B6F7-562189839BED}"/>
    <cellStyle name="20% - Accent2 2 2 4 3" xfId="5341" xr:uid="{00000000-0005-0000-0000-0000BF000000}"/>
    <cellStyle name="20% - Accent2 2 2 4 3 2" xfId="13791" xr:uid="{569F2875-09EB-48E3-8D77-B459C5F9B2FC}"/>
    <cellStyle name="20% - Accent2 2 2 4 4" xfId="9573" xr:uid="{215F2117-B36F-4BF4-96B8-011D78BDDFF6}"/>
    <cellStyle name="20% - Accent2 2 2 5" xfId="1447" xr:uid="{00000000-0005-0000-0000-0000C0000000}"/>
    <cellStyle name="20% - Accent2 2 2 5 2" xfId="3677" xr:uid="{00000000-0005-0000-0000-0000C1000000}"/>
    <cellStyle name="20% - Accent2 2 2 5 2 2" xfId="7899" xr:uid="{00000000-0005-0000-0000-0000C2000000}"/>
    <cellStyle name="20% - Accent2 2 2 5 2 2 2" xfId="16349" xr:uid="{CA630336-2B44-4949-B5EB-D23BD2CAC56E}"/>
    <cellStyle name="20% - Accent2 2 2 5 2 3" xfId="12131" xr:uid="{1FCC8473-281C-444B-BE2D-3C1A3F0706F0}"/>
    <cellStyle name="20% - Accent2 2 2 5 3" xfId="5754" xr:uid="{00000000-0005-0000-0000-0000C3000000}"/>
    <cellStyle name="20% - Accent2 2 2 5 3 2" xfId="14204" xr:uid="{EC764B3A-CC0A-4E24-8F86-3F7048511122}"/>
    <cellStyle name="20% - Accent2 2 2 5 4" xfId="9986" xr:uid="{C93C6C68-7AD2-44B3-B9D1-6A183A10A1AC}"/>
    <cellStyle name="20% - Accent2 2 2 6" xfId="1861" xr:uid="{00000000-0005-0000-0000-0000C4000000}"/>
    <cellStyle name="20% - Accent2 2 2 6 2" xfId="4090" xr:uid="{00000000-0005-0000-0000-0000C5000000}"/>
    <cellStyle name="20% - Accent2 2 2 6 2 2" xfId="8312" xr:uid="{00000000-0005-0000-0000-0000C6000000}"/>
    <cellStyle name="20% - Accent2 2 2 6 2 2 2" xfId="16762" xr:uid="{FF71A639-5CDE-4FAE-A013-1A01553A04E9}"/>
    <cellStyle name="20% - Accent2 2 2 6 2 3" xfId="12544" xr:uid="{318CE22A-E0D4-4991-A48E-D95FB784ACE8}"/>
    <cellStyle name="20% - Accent2 2 2 6 3" xfId="6167" xr:uid="{00000000-0005-0000-0000-0000C7000000}"/>
    <cellStyle name="20% - Accent2 2 2 6 3 2" xfId="14617" xr:uid="{EDAF74EC-E004-48A7-AE60-8ACA8FB8DC69}"/>
    <cellStyle name="20% - Accent2 2 2 6 4" xfId="10399" xr:uid="{2C4E6EDA-518B-425F-90AD-C46F25077669}"/>
    <cellStyle name="20% - Accent2 2 2 7" xfId="2274" xr:uid="{00000000-0005-0000-0000-0000C8000000}"/>
    <cellStyle name="20% - Accent2 2 2 7 2" xfId="6580" xr:uid="{00000000-0005-0000-0000-0000C9000000}"/>
    <cellStyle name="20% - Accent2 2 2 7 2 2" xfId="15030" xr:uid="{4F919A65-BED9-4160-97AF-F1A3460EB797}"/>
    <cellStyle name="20% - Accent2 2 2 7 3" xfId="10812" xr:uid="{7067ED47-B4AF-4DED-BBEB-63F6D23A6488}"/>
    <cellStyle name="20% - Accent2 2 2 8" xfId="4514" xr:uid="{00000000-0005-0000-0000-0000CA000000}"/>
    <cellStyle name="20% - Accent2 2 2 8 2" xfId="12964" xr:uid="{BE17E68F-E7CC-4E39-836F-0DC36A17B1A0}"/>
    <cellStyle name="20% - Accent2 2 2 9" xfId="8746" xr:uid="{6F0E1835-FB08-48F1-9742-1CB1B61E872D}"/>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2 2 2" xfId="15525" xr:uid="{4EBF285C-288C-4C7A-87B2-3BB70D8BC44E}"/>
    <cellStyle name="20% - Accent2 2 3 2 2 3" xfId="11307" xr:uid="{F6C09D62-E177-4894-B5CE-DFBC40E0A477}"/>
    <cellStyle name="20% - Accent2 2 3 2 3" xfId="4930" xr:uid="{00000000-0005-0000-0000-0000CF000000}"/>
    <cellStyle name="20% - Accent2 2 3 2 3 2" xfId="13380" xr:uid="{347D5700-EFDC-4A1F-918F-DABD6BFFA81B}"/>
    <cellStyle name="20% - Accent2 2 3 2 4" xfId="9162" xr:uid="{B0C1BAD6-E5A5-47A1-B3BE-BE397D25E3B0}"/>
    <cellStyle name="20% - Accent2 2 3 3" xfId="1035" xr:uid="{00000000-0005-0000-0000-0000D0000000}"/>
    <cellStyle name="20% - Accent2 2 3 3 2" xfId="3266" xr:uid="{00000000-0005-0000-0000-0000D1000000}"/>
    <cellStyle name="20% - Accent2 2 3 3 2 2" xfId="7488" xr:uid="{00000000-0005-0000-0000-0000D2000000}"/>
    <cellStyle name="20% - Accent2 2 3 3 2 2 2" xfId="15938" xr:uid="{A5DCA31B-A918-4A95-BE6B-A3C086592AB7}"/>
    <cellStyle name="20% - Accent2 2 3 3 2 3" xfId="11720" xr:uid="{EEF7D8EB-B955-44CA-97CD-23EA1CAFFED0}"/>
    <cellStyle name="20% - Accent2 2 3 3 3" xfId="5343" xr:uid="{00000000-0005-0000-0000-0000D3000000}"/>
    <cellStyle name="20% - Accent2 2 3 3 3 2" xfId="13793" xr:uid="{AAC7BD6B-F916-4E0B-AAB1-3D98C47CD65C}"/>
    <cellStyle name="20% - Accent2 2 3 3 4" xfId="9575" xr:uid="{DD23051F-0A6D-429C-9D8F-02256984A890}"/>
    <cellStyle name="20% - Accent2 2 3 4" xfId="1449" xr:uid="{00000000-0005-0000-0000-0000D4000000}"/>
    <cellStyle name="20% - Accent2 2 3 4 2" xfId="3679" xr:uid="{00000000-0005-0000-0000-0000D5000000}"/>
    <cellStyle name="20% - Accent2 2 3 4 2 2" xfId="7901" xr:uid="{00000000-0005-0000-0000-0000D6000000}"/>
    <cellStyle name="20% - Accent2 2 3 4 2 2 2" xfId="16351" xr:uid="{57B94538-2832-4519-B495-B2D6EE04F8A1}"/>
    <cellStyle name="20% - Accent2 2 3 4 2 3" xfId="12133" xr:uid="{EFB33E40-DE55-4444-B5B6-C258DFF617DC}"/>
    <cellStyle name="20% - Accent2 2 3 4 3" xfId="5756" xr:uid="{00000000-0005-0000-0000-0000D7000000}"/>
    <cellStyle name="20% - Accent2 2 3 4 3 2" xfId="14206" xr:uid="{911DB2E5-4EE9-4145-9E4A-50D643790877}"/>
    <cellStyle name="20% - Accent2 2 3 4 4" xfId="9988" xr:uid="{F6FAE619-36DE-4688-8048-5856BBADA026}"/>
    <cellStyle name="20% - Accent2 2 3 5" xfId="1863" xr:uid="{00000000-0005-0000-0000-0000D8000000}"/>
    <cellStyle name="20% - Accent2 2 3 5 2" xfId="4092" xr:uid="{00000000-0005-0000-0000-0000D9000000}"/>
    <cellStyle name="20% - Accent2 2 3 5 2 2" xfId="8314" xr:uid="{00000000-0005-0000-0000-0000DA000000}"/>
    <cellStyle name="20% - Accent2 2 3 5 2 2 2" xfId="16764" xr:uid="{B9960028-5A03-4931-9A38-0CCE5633822A}"/>
    <cellStyle name="20% - Accent2 2 3 5 2 3" xfId="12546" xr:uid="{97DCD28B-C3FF-4EA5-9B80-23F9C7096BCD}"/>
    <cellStyle name="20% - Accent2 2 3 5 3" xfId="6169" xr:uid="{00000000-0005-0000-0000-0000DB000000}"/>
    <cellStyle name="20% - Accent2 2 3 5 3 2" xfId="14619" xr:uid="{6AA6A04E-7F8F-47C0-A1D8-E0691BD69810}"/>
    <cellStyle name="20% - Accent2 2 3 5 4" xfId="10401" xr:uid="{F48C8EA3-398B-4D46-AA8A-B1F4068D57E7}"/>
    <cellStyle name="20% - Accent2 2 3 6" xfId="2276" xr:uid="{00000000-0005-0000-0000-0000DC000000}"/>
    <cellStyle name="20% - Accent2 2 3 6 2" xfId="6582" xr:uid="{00000000-0005-0000-0000-0000DD000000}"/>
    <cellStyle name="20% - Accent2 2 3 6 2 2" xfId="15032" xr:uid="{BA092DCF-A572-40EA-AC9A-D75B3989C7DF}"/>
    <cellStyle name="20% - Accent2 2 3 6 3" xfId="10814" xr:uid="{0A4BA8F4-C6D3-42EB-A570-FAF0300345F0}"/>
    <cellStyle name="20% - Accent2 2 3 7" xfId="4516" xr:uid="{00000000-0005-0000-0000-0000DE000000}"/>
    <cellStyle name="20% - Accent2 2 3 7 2" xfId="12966" xr:uid="{C8E498B9-987D-4403-9629-13A828C5254D}"/>
    <cellStyle name="20% - Accent2 2 3 8" xfId="8748" xr:uid="{6C2C2474-172B-411A-B5F9-AB5D58DB34EF}"/>
    <cellStyle name="20% - Accent2 2 4" xfId="579" xr:uid="{00000000-0005-0000-0000-0000DF000000}"/>
    <cellStyle name="20% - Accent2 2 4 2" xfId="2850" xr:uid="{00000000-0005-0000-0000-0000E0000000}"/>
    <cellStyle name="20% - Accent2 2 4 2 2" xfId="7072" xr:uid="{00000000-0005-0000-0000-0000E1000000}"/>
    <cellStyle name="20% - Accent2 2 4 2 2 2" xfId="15522" xr:uid="{644BC3DF-A231-4ADE-B077-426F0B199C0E}"/>
    <cellStyle name="20% - Accent2 2 4 2 3" xfId="11304" xr:uid="{6A99E77F-87FD-4371-8801-E4304ADE66D0}"/>
    <cellStyle name="20% - Accent2 2 4 3" xfId="4927" xr:uid="{00000000-0005-0000-0000-0000E2000000}"/>
    <cellStyle name="20% - Accent2 2 4 3 2" xfId="13377" xr:uid="{AFE27EF8-2A7A-4172-8AEE-9B030E48F556}"/>
    <cellStyle name="20% - Accent2 2 4 4" xfId="9159" xr:uid="{AEA71A3D-4AB8-48B9-928D-1F9533444286}"/>
    <cellStyle name="20% - Accent2 2 5" xfId="1032" xr:uid="{00000000-0005-0000-0000-0000E3000000}"/>
    <cellStyle name="20% - Accent2 2 5 2" xfId="3263" xr:uid="{00000000-0005-0000-0000-0000E4000000}"/>
    <cellStyle name="20% - Accent2 2 5 2 2" xfId="7485" xr:uid="{00000000-0005-0000-0000-0000E5000000}"/>
    <cellStyle name="20% - Accent2 2 5 2 2 2" xfId="15935" xr:uid="{C98D578F-EB9D-4A6C-ABFB-CE7443F889FB}"/>
    <cellStyle name="20% - Accent2 2 5 2 3" xfId="11717" xr:uid="{95314EC4-65D2-415E-954D-753F195BCED2}"/>
    <cellStyle name="20% - Accent2 2 5 3" xfId="5340" xr:uid="{00000000-0005-0000-0000-0000E6000000}"/>
    <cellStyle name="20% - Accent2 2 5 3 2" xfId="13790" xr:uid="{E09DD4C1-8780-4832-83A0-C6977E17566D}"/>
    <cellStyle name="20% - Accent2 2 5 4" xfId="9572" xr:uid="{9E1F4448-6E97-4F1B-A28F-ECF14650B75D}"/>
    <cellStyle name="20% - Accent2 2 6" xfId="1446" xr:uid="{00000000-0005-0000-0000-0000E7000000}"/>
    <cellStyle name="20% - Accent2 2 6 2" xfId="3676" xr:uid="{00000000-0005-0000-0000-0000E8000000}"/>
    <cellStyle name="20% - Accent2 2 6 2 2" xfId="7898" xr:uid="{00000000-0005-0000-0000-0000E9000000}"/>
    <cellStyle name="20% - Accent2 2 6 2 2 2" xfId="16348" xr:uid="{191B18BD-8FF4-469A-BF9E-05E9D63334F8}"/>
    <cellStyle name="20% - Accent2 2 6 2 3" xfId="12130" xr:uid="{5820A0F9-100E-42D0-9B88-46AF05C686E2}"/>
    <cellStyle name="20% - Accent2 2 6 3" xfId="5753" xr:uid="{00000000-0005-0000-0000-0000EA000000}"/>
    <cellStyle name="20% - Accent2 2 6 3 2" xfId="14203" xr:uid="{E5CB2085-F73C-4FBB-80FB-560243560B0C}"/>
    <cellStyle name="20% - Accent2 2 6 4" xfId="9985" xr:uid="{BDA6C3D7-772D-435A-A606-06DE2C556635}"/>
    <cellStyle name="20% - Accent2 2 7" xfId="1860" xr:uid="{00000000-0005-0000-0000-0000EB000000}"/>
    <cellStyle name="20% - Accent2 2 7 2" xfId="4089" xr:uid="{00000000-0005-0000-0000-0000EC000000}"/>
    <cellStyle name="20% - Accent2 2 7 2 2" xfId="8311" xr:uid="{00000000-0005-0000-0000-0000ED000000}"/>
    <cellStyle name="20% - Accent2 2 7 2 2 2" xfId="16761" xr:uid="{3FD43E09-C3A0-420D-BB1B-15CC8E35602E}"/>
    <cellStyle name="20% - Accent2 2 7 2 3" xfId="12543" xr:uid="{E2A9C8CC-0A1D-449B-AE26-E71EDB5F2173}"/>
    <cellStyle name="20% - Accent2 2 7 3" xfId="6166" xr:uid="{00000000-0005-0000-0000-0000EE000000}"/>
    <cellStyle name="20% - Accent2 2 7 3 2" xfId="14616" xr:uid="{2C13C0CF-4D71-4A40-9EE3-C2C6C5A709B8}"/>
    <cellStyle name="20% - Accent2 2 7 4" xfId="10398" xr:uid="{1E34D6EE-1F53-4D88-A65E-6B7553A45E9D}"/>
    <cellStyle name="20% - Accent2 2 8" xfId="2273" xr:uid="{00000000-0005-0000-0000-0000EF000000}"/>
    <cellStyle name="20% - Accent2 2 8 2" xfId="6579" xr:uid="{00000000-0005-0000-0000-0000F0000000}"/>
    <cellStyle name="20% - Accent2 2 8 2 2" xfId="15029" xr:uid="{6739BF82-1F59-4350-A3EE-D35E54D93E9A}"/>
    <cellStyle name="20% - Accent2 2 8 3" xfId="10811" xr:uid="{C4EB84A7-EF26-4082-885C-3C98183BAF83}"/>
    <cellStyle name="20% - Accent2 2 9" xfId="4513" xr:uid="{00000000-0005-0000-0000-0000F1000000}"/>
    <cellStyle name="20% - Accent2 2 9 2" xfId="12963" xr:uid="{8736E5FA-A4AE-443B-BCB0-AFB5D10B331E}"/>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2 2 2" xfId="15527" xr:uid="{E9C44947-5567-46A7-AEB6-DC4FF1BFB74B}"/>
    <cellStyle name="20% - Accent2 3 2 2 2 3" xfId="11309" xr:uid="{71E013C6-BBB9-42AB-BAB1-9529F755CECF}"/>
    <cellStyle name="20% - Accent2 3 2 2 3" xfId="4932" xr:uid="{00000000-0005-0000-0000-0000F7000000}"/>
    <cellStyle name="20% - Accent2 3 2 2 3 2" xfId="13382" xr:uid="{A27B3EAB-2637-4EBE-B36F-BA060D1540FE}"/>
    <cellStyle name="20% - Accent2 3 2 2 4" xfId="9164" xr:uid="{28FD3D05-6FCE-4341-9F69-2146D550E7F4}"/>
    <cellStyle name="20% - Accent2 3 2 3" xfId="1037" xr:uid="{00000000-0005-0000-0000-0000F8000000}"/>
    <cellStyle name="20% - Accent2 3 2 3 2" xfId="3268" xr:uid="{00000000-0005-0000-0000-0000F9000000}"/>
    <cellStyle name="20% - Accent2 3 2 3 2 2" xfId="7490" xr:uid="{00000000-0005-0000-0000-0000FA000000}"/>
    <cellStyle name="20% - Accent2 3 2 3 2 2 2" xfId="15940" xr:uid="{165C0A99-E85A-480F-9869-1B1F67B0649E}"/>
    <cellStyle name="20% - Accent2 3 2 3 2 3" xfId="11722" xr:uid="{6FC98739-A08B-4984-8E4A-EE62870D2B23}"/>
    <cellStyle name="20% - Accent2 3 2 3 3" xfId="5345" xr:uid="{00000000-0005-0000-0000-0000FB000000}"/>
    <cellStyle name="20% - Accent2 3 2 3 3 2" xfId="13795" xr:uid="{32D82E3F-801D-4D7D-91A2-726B131419AA}"/>
    <cellStyle name="20% - Accent2 3 2 3 4" xfId="9577" xr:uid="{4CA6EC5D-9B58-43DE-B903-87881F709983}"/>
    <cellStyle name="20% - Accent2 3 2 4" xfId="1451" xr:uid="{00000000-0005-0000-0000-0000FC000000}"/>
    <cellStyle name="20% - Accent2 3 2 4 2" xfId="3681" xr:uid="{00000000-0005-0000-0000-0000FD000000}"/>
    <cellStyle name="20% - Accent2 3 2 4 2 2" xfId="7903" xr:uid="{00000000-0005-0000-0000-0000FE000000}"/>
    <cellStyle name="20% - Accent2 3 2 4 2 2 2" xfId="16353" xr:uid="{A03B62F7-9B35-408C-BFE9-DB2CDB975D00}"/>
    <cellStyle name="20% - Accent2 3 2 4 2 3" xfId="12135" xr:uid="{264D34E1-C363-4ED7-AB25-9DAA0F8B75EC}"/>
    <cellStyle name="20% - Accent2 3 2 4 3" xfId="5758" xr:uid="{00000000-0005-0000-0000-0000FF000000}"/>
    <cellStyle name="20% - Accent2 3 2 4 3 2" xfId="14208" xr:uid="{10C1D648-6733-4E75-82D7-435FF17DE84B}"/>
    <cellStyle name="20% - Accent2 3 2 4 4" xfId="9990" xr:uid="{4E8D358C-F89F-4D70-9B52-BD1C3C7DC59C}"/>
    <cellStyle name="20% - Accent2 3 2 5" xfId="1865" xr:uid="{00000000-0005-0000-0000-000000010000}"/>
    <cellStyle name="20% - Accent2 3 2 5 2" xfId="4094" xr:uid="{00000000-0005-0000-0000-000001010000}"/>
    <cellStyle name="20% - Accent2 3 2 5 2 2" xfId="8316" xr:uid="{00000000-0005-0000-0000-000002010000}"/>
    <cellStyle name="20% - Accent2 3 2 5 2 2 2" xfId="16766" xr:uid="{13A8C97A-38F9-4F67-9E25-A67D02108475}"/>
    <cellStyle name="20% - Accent2 3 2 5 2 3" xfId="12548" xr:uid="{074FDC64-E6D8-4C92-98A5-A1BBCF0BCDEA}"/>
    <cellStyle name="20% - Accent2 3 2 5 3" xfId="6171" xr:uid="{00000000-0005-0000-0000-000003010000}"/>
    <cellStyle name="20% - Accent2 3 2 5 3 2" xfId="14621" xr:uid="{0D868BCB-67BD-481E-916F-6645FBBB049E}"/>
    <cellStyle name="20% - Accent2 3 2 5 4" xfId="10403" xr:uid="{7F6A2E28-E4C6-4289-99E7-C26AA3DD1670}"/>
    <cellStyle name="20% - Accent2 3 2 6" xfId="2278" xr:uid="{00000000-0005-0000-0000-000004010000}"/>
    <cellStyle name="20% - Accent2 3 2 6 2" xfId="6584" xr:uid="{00000000-0005-0000-0000-000005010000}"/>
    <cellStyle name="20% - Accent2 3 2 6 2 2" xfId="15034" xr:uid="{B29D5CCC-9E8D-4AFE-9445-6FDAA0A0AE41}"/>
    <cellStyle name="20% - Accent2 3 2 6 3" xfId="10816" xr:uid="{CDB6D1E2-CB86-448B-9CCB-CE0AA42AFBD0}"/>
    <cellStyle name="20% - Accent2 3 2 7" xfId="4518" xr:uid="{00000000-0005-0000-0000-000006010000}"/>
    <cellStyle name="20% - Accent2 3 2 7 2" xfId="12968" xr:uid="{0639BD0C-A076-4A7C-9533-8C5F99220B69}"/>
    <cellStyle name="20% - Accent2 3 2 8" xfId="8750" xr:uid="{FD8DECCD-7981-4A82-9D89-77550A120FB0}"/>
    <cellStyle name="20% - Accent2 3 3" xfId="583" xr:uid="{00000000-0005-0000-0000-000007010000}"/>
    <cellStyle name="20% - Accent2 3 3 2" xfId="2854" xr:uid="{00000000-0005-0000-0000-000008010000}"/>
    <cellStyle name="20% - Accent2 3 3 2 2" xfId="7076" xr:uid="{00000000-0005-0000-0000-000009010000}"/>
    <cellStyle name="20% - Accent2 3 3 2 2 2" xfId="15526" xr:uid="{3747CB99-72A7-41A9-B18B-65280201123D}"/>
    <cellStyle name="20% - Accent2 3 3 2 3" xfId="11308" xr:uid="{C3C6E984-C45C-4E9D-9ECC-8ADE9177F7D2}"/>
    <cellStyle name="20% - Accent2 3 3 3" xfId="4931" xr:uid="{00000000-0005-0000-0000-00000A010000}"/>
    <cellStyle name="20% - Accent2 3 3 3 2" xfId="13381" xr:uid="{45A1BD6C-87EA-4280-BA50-8EAED55E49BA}"/>
    <cellStyle name="20% - Accent2 3 3 4" xfId="9163" xr:uid="{172A4AC6-4CB4-4303-A38E-63235E46D3B4}"/>
    <cellStyle name="20% - Accent2 3 4" xfId="1036" xr:uid="{00000000-0005-0000-0000-00000B010000}"/>
    <cellStyle name="20% - Accent2 3 4 2" xfId="3267" xr:uid="{00000000-0005-0000-0000-00000C010000}"/>
    <cellStyle name="20% - Accent2 3 4 2 2" xfId="7489" xr:uid="{00000000-0005-0000-0000-00000D010000}"/>
    <cellStyle name="20% - Accent2 3 4 2 2 2" xfId="15939" xr:uid="{A97A11C2-1C30-4C9D-9DBB-73BE82B0E0E3}"/>
    <cellStyle name="20% - Accent2 3 4 2 3" xfId="11721" xr:uid="{64786A3C-93FE-4DB6-A012-FF46482EDD97}"/>
    <cellStyle name="20% - Accent2 3 4 3" xfId="5344" xr:uid="{00000000-0005-0000-0000-00000E010000}"/>
    <cellStyle name="20% - Accent2 3 4 3 2" xfId="13794" xr:uid="{4FA6CF45-05AE-4B39-8448-41884BD51FC3}"/>
    <cellStyle name="20% - Accent2 3 4 4" xfId="9576" xr:uid="{8021A78F-C5D9-4299-8B7A-F06AE338CCFA}"/>
    <cellStyle name="20% - Accent2 3 5" xfId="1450" xr:uid="{00000000-0005-0000-0000-00000F010000}"/>
    <cellStyle name="20% - Accent2 3 5 2" xfId="3680" xr:uid="{00000000-0005-0000-0000-000010010000}"/>
    <cellStyle name="20% - Accent2 3 5 2 2" xfId="7902" xr:uid="{00000000-0005-0000-0000-000011010000}"/>
    <cellStyle name="20% - Accent2 3 5 2 2 2" xfId="16352" xr:uid="{6A94DBA4-D842-4C74-8E36-4E5B1E51E274}"/>
    <cellStyle name="20% - Accent2 3 5 2 3" xfId="12134" xr:uid="{F1897E2E-5256-4CE9-8789-847BB5D55D32}"/>
    <cellStyle name="20% - Accent2 3 5 3" xfId="5757" xr:uid="{00000000-0005-0000-0000-000012010000}"/>
    <cellStyle name="20% - Accent2 3 5 3 2" xfId="14207" xr:uid="{A70AE9EE-CF06-4571-8F17-E8273A4F2782}"/>
    <cellStyle name="20% - Accent2 3 5 4" xfId="9989" xr:uid="{E2703C9B-5C5B-473F-ACAB-E4452B89B2AA}"/>
    <cellStyle name="20% - Accent2 3 6" xfId="1864" xr:uid="{00000000-0005-0000-0000-000013010000}"/>
    <cellStyle name="20% - Accent2 3 6 2" xfId="4093" xr:uid="{00000000-0005-0000-0000-000014010000}"/>
    <cellStyle name="20% - Accent2 3 6 2 2" xfId="8315" xr:uid="{00000000-0005-0000-0000-000015010000}"/>
    <cellStyle name="20% - Accent2 3 6 2 2 2" xfId="16765" xr:uid="{407A2B80-A5F3-4BA4-8650-727B38CDB974}"/>
    <cellStyle name="20% - Accent2 3 6 2 3" xfId="12547" xr:uid="{C1C8302C-AC25-4DE8-8630-C52AB3DBD170}"/>
    <cellStyle name="20% - Accent2 3 6 3" xfId="6170" xr:uid="{00000000-0005-0000-0000-000016010000}"/>
    <cellStyle name="20% - Accent2 3 6 3 2" xfId="14620" xr:uid="{4FDC1700-52F4-49B4-BB6B-B29F681948EE}"/>
    <cellStyle name="20% - Accent2 3 6 4" xfId="10402" xr:uid="{9FCFB680-0467-48E9-9902-D33CE3457156}"/>
    <cellStyle name="20% - Accent2 3 7" xfId="2277" xr:uid="{00000000-0005-0000-0000-000017010000}"/>
    <cellStyle name="20% - Accent2 3 7 2" xfId="6583" xr:uid="{00000000-0005-0000-0000-000018010000}"/>
    <cellStyle name="20% - Accent2 3 7 2 2" xfId="15033" xr:uid="{EB25FAC3-DFC6-428D-AE2A-CC632BDAAB8F}"/>
    <cellStyle name="20% - Accent2 3 7 3" xfId="10815" xr:uid="{37565EE7-A546-467C-8E88-6CCD30BE1F43}"/>
    <cellStyle name="20% - Accent2 3 8" xfId="4517" xr:uid="{00000000-0005-0000-0000-000019010000}"/>
    <cellStyle name="20% - Accent2 3 8 2" xfId="12967" xr:uid="{7D3F8A58-B2BB-48EC-B543-F31FAB3B0216}"/>
    <cellStyle name="20% - Accent2 3 9" xfId="8749" xr:uid="{D7660502-8FD1-4D01-87BD-79CCA597AB9E}"/>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2 2 2" xfId="15528" xr:uid="{EEA445F4-1B5A-490C-8D8D-37314C93F6AA}"/>
    <cellStyle name="20% - Accent2 4 2 2 3" xfId="11310" xr:uid="{C84BA80E-82AA-43A9-A364-9CE734865FF9}"/>
    <cellStyle name="20% - Accent2 4 2 3" xfId="4933" xr:uid="{00000000-0005-0000-0000-00001E010000}"/>
    <cellStyle name="20% - Accent2 4 2 3 2" xfId="13383" xr:uid="{E1A11C68-03B0-4B7A-A081-C1FB5069B86A}"/>
    <cellStyle name="20% - Accent2 4 2 4" xfId="9165" xr:uid="{9E064119-FB41-418A-A63B-907FDF56C1E9}"/>
    <cellStyle name="20% - Accent2 4 3" xfId="1038" xr:uid="{00000000-0005-0000-0000-00001F010000}"/>
    <cellStyle name="20% - Accent2 4 3 2" xfId="3269" xr:uid="{00000000-0005-0000-0000-000020010000}"/>
    <cellStyle name="20% - Accent2 4 3 2 2" xfId="7491" xr:uid="{00000000-0005-0000-0000-000021010000}"/>
    <cellStyle name="20% - Accent2 4 3 2 2 2" xfId="15941" xr:uid="{0B39AE7D-272E-4A85-A948-A9A8707103FF}"/>
    <cellStyle name="20% - Accent2 4 3 2 3" xfId="11723" xr:uid="{8123217A-0AC5-4119-93B6-795628DC0F0C}"/>
    <cellStyle name="20% - Accent2 4 3 3" xfId="5346" xr:uid="{00000000-0005-0000-0000-000022010000}"/>
    <cellStyle name="20% - Accent2 4 3 3 2" xfId="13796" xr:uid="{BC4F5F9C-0C4C-4C9B-A94B-75A39353A5F0}"/>
    <cellStyle name="20% - Accent2 4 3 4" xfId="9578" xr:uid="{7158C509-AA88-45C5-99AF-21161C25C2CB}"/>
    <cellStyle name="20% - Accent2 4 4" xfId="1452" xr:uid="{00000000-0005-0000-0000-000023010000}"/>
    <cellStyle name="20% - Accent2 4 4 2" xfId="3682" xr:uid="{00000000-0005-0000-0000-000024010000}"/>
    <cellStyle name="20% - Accent2 4 4 2 2" xfId="7904" xr:uid="{00000000-0005-0000-0000-000025010000}"/>
    <cellStyle name="20% - Accent2 4 4 2 2 2" xfId="16354" xr:uid="{1619A081-8AF8-4FF7-9534-9A3DE0EDCAFD}"/>
    <cellStyle name="20% - Accent2 4 4 2 3" xfId="12136" xr:uid="{AF00792F-E342-4027-8842-90F91B383C0B}"/>
    <cellStyle name="20% - Accent2 4 4 3" xfId="5759" xr:uid="{00000000-0005-0000-0000-000026010000}"/>
    <cellStyle name="20% - Accent2 4 4 3 2" xfId="14209" xr:uid="{9D77CBB8-CB05-4EB1-89FF-3630B45512E5}"/>
    <cellStyle name="20% - Accent2 4 4 4" xfId="9991" xr:uid="{2E6A22E5-BAA8-4EAB-847D-3CDCC1E1D05B}"/>
    <cellStyle name="20% - Accent2 4 5" xfId="1866" xr:uid="{00000000-0005-0000-0000-000027010000}"/>
    <cellStyle name="20% - Accent2 4 5 2" xfId="4095" xr:uid="{00000000-0005-0000-0000-000028010000}"/>
    <cellStyle name="20% - Accent2 4 5 2 2" xfId="8317" xr:uid="{00000000-0005-0000-0000-000029010000}"/>
    <cellStyle name="20% - Accent2 4 5 2 2 2" xfId="16767" xr:uid="{D1753485-9836-488F-9A45-E1E73FA92F7A}"/>
    <cellStyle name="20% - Accent2 4 5 2 3" xfId="12549" xr:uid="{6DB3F20C-4514-4C4A-A955-E5E56BD59F39}"/>
    <cellStyle name="20% - Accent2 4 5 3" xfId="6172" xr:uid="{00000000-0005-0000-0000-00002A010000}"/>
    <cellStyle name="20% - Accent2 4 5 3 2" xfId="14622" xr:uid="{D9D9926C-6AFE-410C-951F-F9C8F130B9FF}"/>
    <cellStyle name="20% - Accent2 4 5 4" xfId="10404" xr:uid="{86970873-32D1-4B16-9137-2C141503FEB1}"/>
    <cellStyle name="20% - Accent2 4 6" xfId="2279" xr:uid="{00000000-0005-0000-0000-00002B010000}"/>
    <cellStyle name="20% - Accent2 4 6 2" xfId="6585" xr:uid="{00000000-0005-0000-0000-00002C010000}"/>
    <cellStyle name="20% - Accent2 4 6 2 2" xfId="15035" xr:uid="{98B29BA3-986E-4370-BC34-1DDD90C6552F}"/>
    <cellStyle name="20% - Accent2 4 6 3" xfId="10817" xr:uid="{89F0AF33-7543-410E-9038-628978B82B1A}"/>
    <cellStyle name="20% - Accent2 4 7" xfId="4519" xr:uid="{00000000-0005-0000-0000-00002D010000}"/>
    <cellStyle name="20% - Accent2 4 7 2" xfId="12969" xr:uid="{8D079541-5352-4C81-99E3-473367780493}"/>
    <cellStyle name="20% - Accent2 4 8" xfId="8751" xr:uid="{808B07BC-EEF2-4684-AF2E-80C7047504C2}"/>
    <cellStyle name="20% - Accent2 5" xfId="578" xr:uid="{00000000-0005-0000-0000-00002E010000}"/>
    <cellStyle name="20% - Accent2 5 2" xfId="2849" xr:uid="{00000000-0005-0000-0000-00002F010000}"/>
    <cellStyle name="20% - Accent2 5 2 2" xfId="7071" xr:uid="{00000000-0005-0000-0000-000030010000}"/>
    <cellStyle name="20% - Accent2 5 2 2 2" xfId="15521" xr:uid="{2CFE0A3F-FBA3-4052-AB6B-4FAB987AC693}"/>
    <cellStyle name="20% - Accent2 5 2 3" xfId="11303" xr:uid="{2AE1F472-36A0-4302-800B-AB0E772C347E}"/>
    <cellStyle name="20% - Accent2 5 3" xfId="4926" xr:uid="{00000000-0005-0000-0000-000031010000}"/>
    <cellStyle name="20% - Accent2 5 3 2" xfId="13376" xr:uid="{B746DE94-2AE0-4EDA-8B9F-FCEA5B64E6DC}"/>
    <cellStyle name="20% - Accent2 5 4" xfId="9158" xr:uid="{2281CEA7-8C0B-477D-AD50-1156C1F50F19}"/>
    <cellStyle name="20% - Accent2 6" xfId="1031" xr:uid="{00000000-0005-0000-0000-000032010000}"/>
    <cellStyle name="20% - Accent2 6 2" xfId="3262" xr:uid="{00000000-0005-0000-0000-000033010000}"/>
    <cellStyle name="20% - Accent2 6 2 2" xfId="7484" xr:uid="{00000000-0005-0000-0000-000034010000}"/>
    <cellStyle name="20% - Accent2 6 2 2 2" xfId="15934" xr:uid="{EEAB023F-62F6-45FF-8F34-37ED8808F3E9}"/>
    <cellStyle name="20% - Accent2 6 2 3" xfId="11716" xr:uid="{2A1024C8-B3B3-4EF2-89E2-EFBA5EBED8D7}"/>
    <cellStyle name="20% - Accent2 6 3" xfId="5339" xr:uid="{00000000-0005-0000-0000-000035010000}"/>
    <cellStyle name="20% - Accent2 6 3 2" xfId="13789" xr:uid="{3A26BFB6-9F89-48D1-B59E-0ED21126ED92}"/>
    <cellStyle name="20% - Accent2 6 4" xfId="9571" xr:uid="{5599CEC0-97BE-4203-880A-7AD9894762D7}"/>
    <cellStyle name="20% - Accent2 7" xfId="1445" xr:uid="{00000000-0005-0000-0000-000036010000}"/>
    <cellStyle name="20% - Accent2 7 2" xfId="3675" xr:uid="{00000000-0005-0000-0000-000037010000}"/>
    <cellStyle name="20% - Accent2 7 2 2" xfId="7897" xr:uid="{00000000-0005-0000-0000-000038010000}"/>
    <cellStyle name="20% - Accent2 7 2 2 2" xfId="16347" xr:uid="{D41E9217-FF29-4E52-A037-7132D7749AE2}"/>
    <cellStyle name="20% - Accent2 7 2 3" xfId="12129" xr:uid="{57BB82FF-870F-4936-B662-C72BF2736C68}"/>
    <cellStyle name="20% - Accent2 7 3" xfId="5752" xr:uid="{00000000-0005-0000-0000-000039010000}"/>
    <cellStyle name="20% - Accent2 7 3 2" xfId="14202" xr:uid="{D9721217-A1F2-48BE-8446-C31F2BA55C4F}"/>
    <cellStyle name="20% - Accent2 7 4" xfId="9984" xr:uid="{83D04AEE-3847-4D24-ABBF-93EBFFEDA7CB}"/>
    <cellStyle name="20% - Accent2 8" xfId="1859" xr:uid="{00000000-0005-0000-0000-00003A010000}"/>
    <cellStyle name="20% - Accent2 8 2" xfId="4088" xr:uid="{00000000-0005-0000-0000-00003B010000}"/>
    <cellStyle name="20% - Accent2 8 2 2" xfId="8310" xr:uid="{00000000-0005-0000-0000-00003C010000}"/>
    <cellStyle name="20% - Accent2 8 2 2 2" xfId="16760" xr:uid="{A9980A00-2396-444B-B306-3BAD7C8DB816}"/>
    <cellStyle name="20% - Accent2 8 2 3" xfId="12542" xr:uid="{DEAE5135-6EAF-4811-89DE-A542686C9D2C}"/>
    <cellStyle name="20% - Accent2 8 3" xfId="6165" xr:uid="{00000000-0005-0000-0000-00003D010000}"/>
    <cellStyle name="20% - Accent2 8 3 2" xfId="14615" xr:uid="{E2F51F57-2801-47B3-AA21-ABA0149AF46C}"/>
    <cellStyle name="20% - Accent2 8 4" xfId="10397" xr:uid="{DF4EC0B8-12A4-4ACB-A8E3-251670A470FD}"/>
    <cellStyle name="20% - Accent2 9" xfId="2272" xr:uid="{00000000-0005-0000-0000-00003E010000}"/>
    <cellStyle name="20% - Accent2 9 2" xfId="6578" xr:uid="{00000000-0005-0000-0000-00003F010000}"/>
    <cellStyle name="20% - Accent2 9 2 2" xfId="15028" xr:uid="{AE823070-001C-4BC4-8AD6-0B5DA6F10ED0}"/>
    <cellStyle name="20% - Accent2 9 3" xfId="10810" xr:uid="{02384E30-B8B6-4409-AFDA-4AE86D5BFC59}"/>
    <cellStyle name="20% - Accent3" xfId="17" builtinId="38" customBuiltin="1"/>
    <cellStyle name="20% - Accent3 10" xfId="4520" xr:uid="{00000000-0005-0000-0000-000041010000}"/>
    <cellStyle name="20% - Accent3 10 2" xfId="12970" xr:uid="{62E11D65-B764-4825-A61C-C93603F8E6A7}"/>
    <cellStyle name="20% - Accent3 11" xfId="8752" xr:uid="{8ABDD993-240D-487B-80A7-BDBEEBFD958B}"/>
    <cellStyle name="20% - Accent3 2" xfId="18" xr:uid="{00000000-0005-0000-0000-000042010000}"/>
    <cellStyle name="20% - Accent3 2 10" xfId="8753" xr:uid="{23CE6534-8E0A-47D9-A934-0395B1B8A242}"/>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2 2 2" xfId="15532" xr:uid="{FAB077ED-C9D2-47A3-B0DD-E28FDBD73116}"/>
    <cellStyle name="20% - Accent3 2 2 2 2 2 3" xfId="11314" xr:uid="{3BA74DD0-6E61-4E70-87B5-A9F16002C49C}"/>
    <cellStyle name="20% - Accent3 2 2 2 2 3" xfId="4937" xr:uid="{00000000-0005-0000-0000-000048010000}"/>
    <cellStyle name="20% - Accent3 2 2 2 2 3 2" xfId="13387" xr:uid="{2D2BE04C-4929-4AA4-B7A0-75AF09311453}"/>
    <cellStyle name="20% - Accent3 2 2 2 2 4" xfId="9169" xr:uid="{78D6CB1B-25A2-4414-AC82-B0DC306D04C8}"/>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2 2 2" xfId="15945" xr:uid="{3A09D459-A816-47C1-A9D0-88F785E0CCE8}"/>
    <cellStyle name="20% - Accent3 2 2 2 3 2 3" xfId="11727" xr:uid="{BD4E2333-F1E1-4625-BC0F-08BB305B1C17}"/>
    <cellStyle name="20% - Accent3 2 2 2 3 3" xfId="5350" xr:uid="{00000000-0005-0000-0000-00004C010000}"/>
    <cellStyle name="20% - Accent3 2 2 2 3 3 2" xfId="13800" xr:uid="{B99A175F-80E0-4E74-8A6D-060BC80BD5DB}"/>
    <cellStyle name="20% - Accent3 2 2 2 3 4" xfId="9582" xr:uid="{A3869810-2828-468A-BC0A-E340D7F54628}"/>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2 2 2" xfId="16358" xr:uid="{1D8360BB-28AC-4E8B-B090-1EDE0F721F9B}"/>
    <cellStyle name="20% - Accent3 2 2 2 4 2 3" xfId="12140" xr:uid="{84C68F66-BF26-4FF1-9A4E-9CEAECD6803C}"/>
    <cellStyle name="20% - Accent3 2 2 2 4 3" xfId="5763" xr:uid="{00000000-0005-0000-0000-000050010000}"/>
    <cellStyle name="20% - Accent3 2 2 2 4 3 2" xfId="14213" xr:uid="{F94F8385-5BF1-4679-A689-90D599754F70}"/>
    <cellStyle name="20% - Accent3 2 2 2 4 4" xfId="9995" xr:uid="{9E7A7F82-6A89-4240-8CFD-3E59F9C1D953}"/>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2 2 2" xfId="16771" xr:uid="{0E585456-5B77-41EB-99D1-FC6D5421B8DA}"/>
    <cellStyle name="20% - Accent3 2 2 2 5 2 3" xfId="12553" xr:uid="{9CF93B6C-2541-465F-89AD-CB00DDB0EE3C}"/>
    <cellStyle name="20% - Accent3 2 2 2 5 3" xfId="6176" xr:uid="{00000000-0005-0000-0000-000054010000}"/>
    <cellStyle name="20% - Accent3 2 2 2 5 3 2" xfId="14626" xr:uid="{57B66DB0-B6D3-439A-8B36-A5CE7054842A}"/>
    <cellStyle name="20% - Accent3 2 2 2 5 4" xfId="10408" xr:uid="{958E0B8C-8B89-4657-9635-AE9761A50176}"/>
    <cellStyle name="20% - Accent3 2 2 2 6" xfId="2283" xr:uid="{00000000-0005-0000-0000-000055010000}"/>
    <cellStyle name="20% - Accent3 2 2 2 6 2" xfId="6589" xr:uid="{00000000-0005-0000-0000-000056010000}"/>
    <cellStyle name="20% - Accent3 2 2 2 6 2 2" xfId="15039" xr:uid="{1524D9F9-C333-436E-930B-D97A754D0889}"/>
    <cellStyle name="20% - Accent3 2 2 2 6 3" xfId="10821" xr:uid="{2E3A53A3-E814-4392-B415-281709DEB746}"/>
    <cellStyle name="20% - Accent3 2 2 2 7" xfId="4523" xr:uid="{00000000-0005-0000-0000-000057010000}"/>
    <cellStyle name="20% - Accent3 2 2 2 7 2" xfId="12973" xr:uid="{A6212DF0-FDDC-406C-8D61-C304B507A8A4}"/>
    <cellStyle name="20% - Accent3 2 2 2 8" xfId="8755" xr:uid="{F0237664-78F9-4C18-BF14-6D52D64C6CB4}"/>
    <cellStyle name="20% - Accent3 2 2 3" xfId="588" xr:uid="{00000000-0005-0000-0000-000058010000}"/>
    <cellStyle name="20% - Accent3 2 2 3 2" xfId="2859" xr:uid="{00000000-0005-0000-0000-000059010000}"/>
    <cellStyle name="20% - Accent3 2 2 3 2 2" xfId="7081" xr:uid="{00000000-0005-0000-0000-00005A010000}"/>
    <cellStyle name="20% - Accent3 2 2 3 2 2 2" xfId="15531" xr:uid="{7A0F2F31-65AB-496F-BF0D-8DB88869A5D3}"/>
    <cellStyle name="20% - Accent3 2 2 3 2 3" xfId="11313" xr:uid="{EA93F5E3-0BA1-49AC-BE7D-592AD491203F}"/>
    <cellStyle name="20% - Accent3 2 2 3 3" xfId="4936" xr:uid="{00000000-0005-0000-0000-00005B010000}"/>
    <cellStyle name="20% - Accent3 2 2 3 3 2" xfId="13386" xr:uid="{713743A4-E915-4D66-BB19-7646E4F0AF1B}"/>
    <cellStyle name="20% - Accent3 2 2 3 4" xfId="9168" xr:uid="{44A5BB06-ED6F-409B-9BBE-162059B0D8EB}"/>
    <cellStyle name="20% - Accent3 2 2 4" xfId="1041" xr:uid="{00000000-0005-0000-0000-00005C010000}"/>
    <cellStyle name="20% - Accent3 2 2 4 2" xfId="3272" xr:uid="{00000000-0005-0000-0000-00005D010000}"/>
    <cellStyle name="20% - Accent3 2 2 4 2 2" xfId="7494" xr:uid="{00000000-0005-0000-0000-00005E010000}"/>
    <cellStyle name="20% - Accent3 2 2 4 2 2 2" xfId="15944" xr:uid="{5C663AEC-AB0F-4AD8-9EA3-68C6EBCE6732}"/>
    <cellStyle name="20% - Accent3 2 2 4 2 3" xfId="11726" xr:uid="{177BD433-D668-44FD-8416-C54D3FC41058}"/>
    <cellStyle name="20% - Accent3 2 2 4 3" xfId="5349" xr:uid="{00000000-0005-0000-0000-00005F010000}"/>
    <cellStyle name="20% - Accent3 2 2 4 3 2" xfId="13799" xr:uid="{C863602F-7550-4065-9988-F4B1439D112A}"/>
    <cellStyle name="20% - Accent3 2 2 4 4" xfId="9581" xr:uid="{BAE489ED-9CF0-4471-A4AD-4EA45E58D8AD}"/>
    <cellStyle name="20% - Accent3 2 2 5" xfId="1455" xr:uid="{00000000-0005-0000-0000-000060010000}"/>
    <cellStyle name="20% - Accent3 2 2 5 2" xfId="3685" xr:uid="{00000000-0005-0000-0000-000061010000}"/>
    <cellStyle name="20% - Accent3 2 2 5 2 2" xfId="7907" xr:uid="{00000000-0005-0000-0000-000062010000}"/>
    <cellStyle name="20% - Accent3 2 2 5 2 2 2" xfId="16357" xr:uid="{C09F3343-75DB-4C84-B7E0-1CA8AD2CB3F2}"/>
    <cellStyle name="20% - Accent3 2 2 5 2 3" xfId="12139" xr:uid="{43E32281-6F95-48F5-9A85-DC153582ECF2}"/>
    <cellStyle name="20% - Accent3 2 2 5 3" xfId="5762" xr:uid="{00000000-0005-0000-0000-000063010000}"/>
    <cellStyle name="20% - Accent3 2 2 5 3 2" xfId="14212" xr:uid="{ABBFB159-4302-4620-BBFF-3B45E3D0BCB3}"/>
    <cellStyle name="20% - Accent3 2 2 5 4" xfId="9994" xr:uid="{DA3D98B0-489C-4F39-AC87-660B5D224B44}"/>
    <cellStyle name="20% - Accent3 2 2 6" xfId="1869" xr:uid="{00000000-0005-0000-0000-000064010000}"/>
    <cellStyle name="20% - Accent3 2 2 6 2" xfId="4098" xr:uid="{00000000-0005-0000-0000-000065010000}"/>
    <cellStyle name="20% - Accent3 2 2 6 2 2" xfId="8320" xr:uid="{00000000-0005-0000-0000-000066010000}"/>
    <cellStyle name="20% - Accent3 2 2 6 2 2 2" xfId="16770" xr:uid="{5005A3F6-B6D6-4428-986A-B08164BE1124}"/>
    <cellStyle name="20% - Accent3 2 2 6 2 3" xfId="12552" xr:uid="{AE0D0BAF-6829-484B-AE7D-058310174871}"/>
    <cellStyle name="20% - Accent3 2 2 6 3" xfId="6175" xr:uid="{00000000-0005-0000-0000-000067010000}"/>
    <cellStyle name="20% - Accent3 2 2 6 3 2" xfId="14625" xr:uid="{378290B6-366F-47F5-A12B-2174D55683B7}"/>
    <cellStyle name="20% - Accent3 2 2 6 4" xfId="10407" xr:uid="{8E2FEFC6-434E-45E4-80EB-B6B0C5C0357F}"/>
    <cellStyle name="20% - Accent3 2 2 7" xfId="2282" xr:uid="{00000000-0005-0000-0000-000068010000}"/>
    <cellStyle name="20% - Accent3 2 2 7 2" xfId="6588" xr:uid="{00000000-0005-0000-0000-000069010000}"/>
    <cellStyle name="20% - Accent3 2 2 7 2 2" xfId="15038" xr:uid="{8183B310-E121-46D0-A9B4-62DC5F9EE64B}"/>
    <cellStyle name="20% - Accent3 2 2 7 3" xfId="10820" xr:uid="{3363D2D3-EAAF-491B-BB8E-C31D1170CD6B}"/>
    <cellStyle name="20% - Accent3 2 2 8" xfId="4522" xr:uid="{00000000-0005-0000-0000-00006A010000}"/>
    <cellStyle name="20% - Accent3 2 2 8 2" xfId="12972" xr:uid="{067E8F65-3AAA-45AA-B3C8-5D30E4376571}"/>
    <cellStyle name="20% - Accent3 2 2 9" xfId="8754" xr:uid="{40A1F439-C1E6-4BEC-9A87-3FFB94F3872B}"/>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2 2 2" xfId="15533" xr:uid="{278CBCC6-5252-4CC5-8833-E8CA332AFA9C}"/>
    <cellStyle name="20% - Accent3 2 3 2 2 3" xfId="11315" xr:uid="{355CC868-27BC-45F3-AB21-2989A21D6AAD}"/>
    <cellStyle name="20% - Accent3 2 3 2 3" xfId="4938" xr:uid="{00000000-0005-0000-0000-00006F010000}"/>
    <cellStyle name="20% - Accent3 2 3 2 3 2" xfId="13388" xr:uid="{537D1F1F-26CD-40B7-AF98-A0EB79AA4274}"/>
    <cellStyle name="20% - Accent3 2 3 2 4" xfId="9170" xr:uid="{B0741473-5F81-44D5-BF52-A992721724A3}"/>
    <cellStyle name="20% - Accent3 2 3 3" xfId="1043" xr:uid="{00000000-0005-0000-0000-000070010000}"/>
    <cellStyle name="20% - Accent3 2 3 3 2" xfId="3274" xr:uid="{00000000-0005-0000-0000-000071010000}"/>
    <cellStyle name="20% - Accent3 2 3 3 2 2" xfId="7496" xr:uid="{00000000-0005-0000-0000-000072010000}"/>
    <cellStyle name="20% - Accent3 2 3 3 2 2 2" xfId="15946" xr:uid="{6CF00EBA-D0B5-45FA-8CE1-C2B806521B68}"/>
    <cellStyle name="20% - Accent3 2 3 3 2 3" xfId="11728" xr:uid="{FD28ABDD-E69A-482D-86DF-193B1C893439}"/>
    <cellStyle name="20% - Accent3 2 3 3 3" xfId="5351" xr:uid="{00000000-0005-0000-0000-000073010000}"/>
    <cellStyle name="20% - Accent3 2 3 3 3 2" xfId="13801" xr:uid="{96108EB6-3B55-4093-B5CD-BCED86C492F2}"/>
    <cellStyle name="20% - Accent3 2 3 3 4" xfId="9583" xr:uid="{918D3EEE-1168-4F5A-B893-E1E2B8FDB6D3}"/>
    <cellStyle name="20% - Accent3 2 3 4" xfId="1457" xr:uid="{00000000-0005-0000-0000-000074010000}"/>
    <cellStyle name="20% - Accent3 2 3 4 2" xfId="3687" xr:uid="{00000000-0005-0000-0000-000075010000}"/>
    <cellStyle name="20% - Accent3 2 3 4 2 2" xfId="7909" xr:uid="{00000000-0005-0000-0000-000076010000}"/>
    <cellStyle name="20% - Accent3 2 3 4 2 2 2" xfId="16359" xr:uid="{C1B36EC5-30F2-4C1D-83A6-BA43110E4D27}"/>
    <cellStyle name="20% - Accent3 2 3 4 2 3" xfId="12141" xr:uid="{98A6E62A-1DC0-4B19-8CA8-B532F1960335}"/>
    <cellStyle name="20% - Accent3 2 3 4 3" xfId="5764" xr:uid="{00000000-0005-0000-0000-000077010000}"/>
    <cellStyle name="20% - Accent3 2 3 4 3 2" xfId="14214" xr:uid="{5136E125-A341-4151-AEB4-6CD7C0F730F1}"/>
    <cellStyle name="20% - Accent3 2 3 4 4" xfId="9996" xr:uid="{65F1B0B5-1DF8-400C-AB55-24C01B6101ED}"/>
    <cellStyle name="20% - Accent3 2 3 5" xfId="1871" xr:uid="{00000000-0005-0000-0000-000078010000}"/>
    <cellStyle name="20% - Accent3 2 3 5 2" xfId="4100" xr:uid="{00000000-0005-0000-0000-000079010000}"/>
    <cellStyle name="20% - Accent3 2 3 5 2 2" xfId="8322" xr:uid="{00000000-0005-0000-0000-00007A010000}"/>
    <cellStyle name="20% - Accent3 2 3 5 2 2 2" xfId="16772" xr:uid="{270EE341-2512-4354-AAF7-5A24411CFC0A}"/>
    <cellStyle name="20% - Accent3 2 3 5 2 3" xfId="12554" xr:uid="{59B3D9E8-2839-4791-BA80-416D18805F01}"/>
    <cellStyle name="20% - Accent3 2 3 5 3" xfId="6177" xr:uid="{00000000-0005-0000-0000-00007B010000}"/>
    <cellStyle name="20% - Accent3 2 3 5 3 2" xfId="14627" xr:uid="{D6B0528E-FC8E-4C76-AA37-B1AEF1AF940A}"/>
    <cellStyle name="20% - Accent3 2 3 5 4" xfId="10409" xr:uid="{1CE55E8F-8F77-4129-A47E-6148591E1D12}"/>
    <cellStyle name="20% - Accent3 2 3 6" xfId="2284" xr:uid="{00000000-0005-0000-0000-00007C010000}"/>
    <cellStyle name="20% - Accent3 2 3 6 2" xfId="6590" xr:uid="{00000000-0005-0000-0000-00007D010000}"/>
    <cellStyle name="20% - Accent3 2 3 6 2 2" xfId="15040" xr:uid="{0E5C7046-6CBB-4698-8955-05815B5E8653}"/>
    <cellStyle name="20% - Accent3 2 3 6 3" xfId="10822" xr:uid="{3FDB7918-3793-43A2-ADFD-66D3BDF111C2}"/>
    <cellStyle name="20% - Accent3 2 3 7" xfId="4524" xr:uid="{00000000-0005-0000-0000-00007E010000}"/>
    <cellStyle name="20% - Accent3 2 3 7 2" xfId="12974" xr:uid="{00333A72-4A89-40F8-A84D-0A46B9B91222}"/>
    <cellStyle name="20% - Accent3 2 3 8" xfId="8756" xr:uid="{D0732F7E-7944-4E0C-9CA6-0B057D76A328}"/>
    <cellStyle name="20% - Accent3 2 4" xfId="587" xr:uid="{00000000-0005-0000-0000-00007F010000}"/>
    <cellStyle name="20% - Accent3 2 4 2" xfId="2858" xr:uid="{00000000-0005-0000-0000-000080010000}"/>
    <cellStyle name="20% - Accent3 2 4 2 2" xfId="7080" xr:uid="{00000000-0005-0000-0000-000081010000}"/>
    <cellStyle name="20% - Accent3 2 4 2 2 2" xfId="15530" xr:uid="{422B093E-727B-4B4C-9A33-974D720D9E67}"/>
    <cellStyle name="20% - Accent3 2 4 2 3" xfId="11312" xr:uid="{6044B62F-A409-47EE-9AD6-FCA4481F03C9}"/>
    <cellStyle name="20% - Accent3 2 4 3" xfId="4935" xr:uid="{00000000-0005-0000-0000-000082010000}"/>
    <cellStyle name="20% - Accent3 2 4 3 2" xfId="13385" xr:uid="{11DBDD3D-A951-4F86-9E0D-114BA8E70B3E}"/>
    <cellStyle name="20% - Accent3 2 4 4" xfId="9167" xr:uid="{4191BB5B-D078-40C0-9536-8549D62F0C85}"/>
    <cellStyle name="20% - Accent3 2 5" xfId="1040" xr:uid="{00000000-0005-0000-0000-000083010000}"/>
    <cellStyle name="20% - Accent3 2 5 2" xfId="3271" xr:uid="{00000000-0005-0000-0000-000084010000}"/>
    <cellStyle name="20% - Accent3 2 5 2 2" xfId="7493" xr:uid="{00000000-0005-0000-0000-000085010000}"/>
    <cellStyle name="20% - Accent3 2 5 2 2 2" xfId="15943" xr:uid="{FC3AE085-2485-492E-AC70-DB849FAC27F9}"/>
    <cellStyle name="20% - Accent3 2 5 2 3" xfId="11725" xr:uid="{3945FD94-6F6B-4CC0-8050-9CEF1C383F31}"/>
    <cellStyle name="20% - Accent3 2 5 3" xfId="5348" xr:uid="{00000000-0005-0000-0000-000086010000}"/>
    <cellStyle name="20% - Accent3 2 5 3 2" xfId="13798" xr:uid="{773C277C-0EFA-42A7-A12A-58CCDAE97AEA}"/>
    <cellStyle name="20% - Accent3 2 5 4" xfId="9580" xr:uid="{4A61E6EF-C7F6-477F-BA1D-25AC4C9E477D}"/>
    <cellStyle name="20% - Accent3 2 6" xfId="1454" xr:uid="{00000000-0005-0000-0000-000087010000}"/>
    <cellStyle name="20% - Accent3 2 6 2" xfId="3684" xr:uid="{00000000-0005-0000-0000-000088010000}"/>
    <cellStyle name="20% - Accent3 2 6 2 2" xfId="7906" xr:uid="{00000000-0005-0000-0000-000089010000}"/>
    <cellStyle name="20% - Accent3 2 6 2 2 2" xfId="16356" xr:uid="{8BE289A3-221F-47C1-BFA5-DFECB70907C5}"/>
    <cellStyle name="20% - Accent3 2 6 2 3" xfId="12138" xr:uid="{7EE8420F-BFEB-4893-BD49-21DB4564A23D}"/>
    <cellStyle name="20% - Accent3 2 6 3" xfId="5761" xr:uid="{00000000-0005-0000-0000-00008A010000}"/>
    <cellStyle name="20% - Accent3 2 6 3 2" xfId="14211" xr:uid="{6A1EC5D2-1106-4F55-BC12-3DAAA6E24C0B}"/>
    <cellStyle name="20% - Accent3 2 6 4" xfId="9993" xr:uid="{443C5652-5E90-4ADC-BB97-3AA5E692653F}"/>
    <cellStyle name="20% - Accent3 2 7" xfId="1868" xr:uid="{00000000-0005-0000-0000-00008B010000}"/>
    <cellStyle name="20% - Accent3 2 7 2" xfId="4097" xr:uid="{00000000-0005-0000-0000-00008C010000}"/>
    <cellStyle name="20% - Accent3 2 7 2 2" xfId="8319" xr:uid="{00000000-0005-0000-0000-00008D010000}"/>
    <cellStyle name="20% - Accent3 2 7 2 2 2" xfId="16769" xr:uid="{DC2187F5-5088-4FD1-86CA-7A4BE0BF4137}"/>
    <cellStyle name="20% - Accent3 2 7 2 3" xfId="12551" xr:uid="{479E00E1-42C3-4E8E-BA00-877C8BD51D7F}"/>
    <cellStyle name="20% - Accent3 2 7 3" xfId="6174" xr:uid="{00000000-0005-0000-0000-00008E010000}"/>
    <cellStyle name="20% - Accent3 2 7 3 2" xfId="14624" xr:uid="{F9F11CDB-6D80-45EA-B4C5-382BCA51E866}"/>
    <cellStyle name="20% - Accent3 2 7 4" xfId="10406" xr:uid="{00A6A1ED-836C-4A06-A296-AB4C4C568BDC}"/>
    <cellStyle name="20% - Accent3 2 8" xfId="2281" xr:uid="{00000000-0005-0000-0000-00008F010000}"/>
    <cellStyle name="20% - Accent3 2 8 2" xfId="6587" xr:uid="{00000000-0005-0000-0000-000090010000}"/>
    <cellStyle name="20% - Accent3 2 8 2 2" xfId="15037" xr:uid="{BB910FD6-0B28-45D6-BCEE-16C423DE0E38}"/>
    <cellStyle name="20% - Accent3 2 8 3" xfId="10819" xr:uid="{D2A06625-4ABA-4B52-A340-A1E2CC297778}"/>
    <cellStyle name="20% - Accent3 2 9" xfId="4521" xr:uid="{00000000-0005-0000-0000-000091010000}"/>
    <cellStyle name="20% - Accent3 2 9 2" xfId="12971" xr:uid="{A6D58C73-042F-4567-90C2-33752720CE83}"/>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2 2 2" xfId="15535" xr:uid="{CA2D93E5-70D1-4555-A948-5CF512D3D07D}"/>
    <cellStyle name="20% - Accent3 3 2 2 2 3" xfId="11317" xr:uid="{049F2E88-0897-4265-A172-00699F29BA5C}"/>
    <cellStyle name="20% - Accent3 3 2 2 3" xfId="4940" xr:uid="{00000000-0005-0000-0000-000097010000}"/>
    <cellStyle name="20% - Accent3 3 2 2 3 2" xfId="13390" xr:uid="{E567124D-A00A-4300-A45F-06A585FF22EF}"/>
    <cellStyle name="20% - Accent3 3 2 2 4" xfId="9172" xr:uid="{A5DB1D46-6419-41A8-BEFB-9C762E713BC6}"/>
    <cellStyle name="20% - Accent3 3 2 3" xfId="1045" xr:uid="{00000000-0005-0000-0000-000098010000}"/>
    <cellStyle name="20% - Accent3 3 2 3 2" xfId="3276" xr:uid="{00000000-0005-0000-0000-000099010000}"/>
    <cellStyle name="20% - Accent3 3 2 3 2 2" xfId="7498" xr:uid="{00000000-0005-0000-0000-00009A010000}"/>
    <cellStyle name="20% - Accent3 3 2 3 2 2 2" xfId="15948" xr:uid="{F50AE76A-3B14-4A4B-8BAC-CA5F08B3BE8A}"/>
    <cellStyle name="20% - Accent3 3 2 3 2 3" xfId="11730" xr:uid="{9D0C82A8-B072-480D-AA56-C65345A04C65}"/>
    <cellStyle name="20% - Accent3 3 2 3 3" xfId="5353" xr:uid="{00000000-0005-0000-0000-00009B010000}"/>
    <cellStyle name="20% - Accent3 3 2 3 3 2" xfId="13803" xr:uid="{B21FC066-BDCE-4829-B183-D5CE339F7B84}"/>
    <cellStyle name="20% - Accent3 3 2 3 4" xfId="9585" xr:uid="{0AF33C6A-7F76-4AE2-80A1-F847BB37AD30}"/>
    <cellStyle name="20% - Accent3 3 2 4" xfId="1459" xr:uid="{00000000-0005-0000-0000-00009C010000}"/>
    <cellStyle name="20% - Accent3 3 2 4 2" xfId="3689" xr:uid="{00000000-0005-0000-0000-00009D010000}"/>
    <cellStyle name="20% - Accent3 3 2 4 2 2" xfId="7911" xr:uid="{00000000-0005-0000-0000-00009E010000}"/>
    <cellStyle name="20% - Accent3 3 2 4 2 2 2" xfId="16361" xr:uid="{89C7DF75-A614-48A7-A229-4E0E5BA59535}"/>
    <cellStyle name="20% - Accent3 3 2 4 2 3" xfId="12143" xr:uid="{74B53521-7D1F-4579-B220-78A6A7568BDD}"/>
    <cellStyle name="20% - Accent3 3 2 4 3" xfId="5766" xr:uid="{00000000-0005-0000-0000-00009F010000}"/>
    <cellStyle name="20% - Accent3 3 2 4 3 2" xfId="14216" xr:uid="{4DC0A9BA-1D83-4514-BE66-9B84A3A46867}"/>
    <cellStyle name="20% - Accent3 3 2 4 4" xfId="9998" xr:uid="{97A7220F-C8DA-43D9-960F-FB1E7760F5E6}"/>
    <cellStyle name="20% - Accent3 3 2 5" xfId="1873" xr:uid="{00000000-0005-0000-0000-0000A0010000}"/>
    <cellStyle name="20% - Accent3 3 2 5 2" xfId="4102" xr:uid="{00000000-0005-0000-0000-0000A1010000}"/>
    <cellStyle name="20% - Accent3 3 2 5 2 2" xfId="8324" xr:uid="{00000000-0005-0000-0000-0000A2010000}"/>
    <cellStyle name="20% - Accent3 3 2 5 2 2 2" xfId="16774" xr:uid="{BE62E793-45B3-4B29-8278-B1BBC42C04A4}"/>
    <cellStyle name="20% - Accent3 3 2 5 2 3" xfId="12556" xr:uid="{6B27AEF6-1F5E-4550-B1F7-257382C982B2}"/>
    <cellStyle name="20% - Accent3 3 2 5 3" xfId="6179" xr:uid="{00000000-0005-0000-0000-0000A3010000}"/>
    <cellStyle name="20% - Accent3 3 2 5 3 2" xfId="14629" xr:uid="{1C7587AD-7A0B-4BB8-8CB7-A985E63D7471}"/>
    <cellStyle name="20% - Accent3 3 2 5 4" xfId="10411" xr:uid="{961569A0-1129-457A-B194-1E093B5DEA32}"/>
    <cellStyle name="20% - Accent3 3 2 6" xfId="2286" xr:uid="{00000000-0005-0000-0000-0000A4010000}"/>
    <cellStyle name="20% - Accent3 3 2 6 2" xfId="6592" xr:uid="{00000000-0005-0000-0000-0000A5010000}"/>
    <cellStyle name="20% - Accent3 3 2 6 2 2" xfId="15042" xr:uid="{6F565D33-1F5B-4EAF-A67A-38B80664BBAD}"/>
    <cellStyle name="20% - Accent3 3 2 6 3" xfId="10824" xr:uid="{E705288B-5E74-4FFD-9258-5E3B479AF498}"/>
    <cellStyle name="20% - Accent3 3 2 7" xfId="4526" xr:uid="{00000000-0005-0000-0000-0000A6010000}"/>
    <cellStyle name="20% - Accent3 3 2 7 2" xfId="12976" xr:uid="{FAB0C236-73AB-45BE-9A9A-BEA9781C8D51}"/>
    <cellStyle name="20% - Accent3 3 2 8" xfId="8758" xr:uid="{BB4CE69A-C567-40F8-8C50-13FEA637BC9D}"/>
    <cellStyle name="20% - Accent3 3 3" xfId="591" xr:uid="{00000000-0005-0000-0000-0000A7010000}"/>
    <cellStyle name="20% - Accent3 3 3 2" xfId="2862" xr:uid="{00000000-0005-0000-0000-0000A8010000}"/>
    <cellStyle name="20% - Accent3 3 3 2 2" xfId="7084" xr:uid="{00000000-0005-0000-0000-0000A9010000}"/>
    <cellStyle name="20% - Accent3 3 3 2 2 2" xfId="15534" xr:uid="{01D0B744-0405-49F1-88B0-171C1D67DB40}"/>
    <cellStyle name="20% - Accent3 3 3 2 3" xfId="11316" xr:uid="{B50BB8CF-A48A-4478-BF6F-E243969AB12F}"/>
    <cellStyle name="20% - Accent3 3 3 3" xfId="4939" xr:uid="{00000000-0005-0000-0000-0000AA010000}"/>
    <cellStyle name="20% - Accent3 3 3 3 2" xfId="13389" xr:uid="{A2BDC318-186F-4E2D-BA61-B480D98F3EC9}"/>
    <cellStyle name="20% - Accent3 3 3 4" xfId="9171" xr:uid="{A6326FD3-50E6-4D04-800C-5A1054AE3631}"/>
    <cellStyle name="20% - Accent3 3 4" xfId="1044" xr:uid="{00000000-0005-0000-0000-0000AB010000}"/>
    <cellStyle name="20% - Accent3 3 4 2" xfId="3275" xr:uid="{00000000-0005-0000-0000-0000AC010000}"/>
    <cellStyle name="20% - Accent3 3 4 2 2" xfId="7497" xr:uid="{00000000-0005-0000-0000-0000AD010000}"/>
    <cellStyle name="20% - Accent3 3 4 2 2 2" xfId="15947" xr:uid="{0A05E67F-72A4-41A7-A641-C3BAEB283376}"/>
    <cellStyle name="20% - Accent3 3 4 2 3" xfId="11729" xr:uid="{BD184E98-9438-4E4E-A9BD-30DC67A99C9B}"/>
    <cellStyle name="20% - Accent3 3 4 3" xfId="5352" xr:uid="{00000000-0005-0000-0000-0000AE010000}"/>
    <cellStyle name="20% - Accent3 3 4 3 2" xfId="13802" xr:uid="{6599EF64-719D-4E92-A792-F83728A2032D}"/>
    <cellStyle name="20% - Accent3 3 4 4" xfId="9584" xr:uid="{C2D40BDE-F996-4E7A-A60A-A2E11E0C3959}"/>
    <cellStyle name="20% - Accent3 3 5" xfId="1458" xr:uid="{00000000-0005-0000-0000-0000AF010000}"/>
    <cellStyle name="20% - Accent3 3 5 2" xfId="3688" xr:uid="{00000000-0005-0000-0000-0000B0010000}"/>
    <cellStyle name="20% - Accent3 3 5 2 2" xfId="7910" xr:uid="{00000000-0005-0000-0000-0000B1010000}"/>
    <cellStyle name="20% - Accent3 3 5 2 2 2" xfId="16360" xr:uid="{74B67A69-CF37-4C9D-8765-4CE6DA4010DE}"/>
    <cellStyle name="20% - Accent3 3 5 2 3" xfId="12142" xr:uid="{285FA7DD-C06B-446C-8C4C-305CD8AEEC56}"/>
    <cellStyle name="20% - Accent3 3 5 3" xfId="5765" xr:uid="{00000000-0005-0000-0000-0000B2010000}"/>
    <cellStyle name="20% - Accent3 3 5 3 2" xfId="14215" xr:uid="{3A5E946B-581B-4B57-AA6F-25FAAC4F719A}"/>
    <cellStyle name="20% - Accent3 3 5 4" xfId="9997" xr:uid="{9983081E-7D5E-4C09-B312-07B5E54161A9}"/>
    <cellStyle name="20% - Accent3 3 6" xfId="1872" xr:uid="{00000000-0005-0000-0000-0000B3010000}"/>
    <cellStyle name="20% - Accent3 3 6 2" xfId="4101" xr:uid="{00000000-0005-0000-0000-0000B4010000}"/>
    <cellStyle name="20% - Accent3 3 6 2 2" xfId="8323" xr:uid="{00000000-0005-0000-0000-0000B5010000}"/>
    <cellStyle name="20% - Accent3 3 6 2 2 2" xfId="16773" xr:uid="{ED297D0E-BD35-4A32-BB99-0B52AF617C24}"/>
    <cellStyle name="20% - Accent3 3 6 2 3" xfId="12555" xr:uid="{E9F6F40C-C133-437C-A1C2-B62AEED289E1}"/>
    <cellStyle name="20% - Accent3 3 6 3" xfId="6178" xr:uid="{00000000-0005-0000-0000-0000B6010000}"/>
    <cellStyle name="20% - Accent3 3 6 3 2" xfId="14628" xr:uid="{1B515734-8C2C-409A-A54B-3EEE8FDBAF45}"/>
    <cellStyle name="20% - Accent3 3 6 4" xfId="10410" xr:uid="{239BFCD0-3599-4758-A30C-1C6115CE1CBA}"/>
    <cellStyle name="20% - Accent3 3 7" xfId="2285" xr:uid="{00000000-0005-0000-0000-0000B7010000}"/>
    <cellStyle name="20% - Accent3 3 7 2" xfId="6591" xr:uid="{00000000-0005-0000-0000-0000B8010000}"/>
    <cellStyle name="20% - Accent3 3 7 2 2" xfId="15041" xr:uid="{D785B133-AD50-455D-97FE-890E8FC5CDF5}"/>
    <cellStyle name="20% - Accent3 3 7 3" xfId="10823" xr:uid="{9608F3DE-9FB1-4C05-8656-72124BC3DC92}"/>
    <cellStyle name="20% - Accent3 3 8" xfId="4525" xr:uid="{00000000-0005-0000-0000-0000B9010000}"/>
    <cellStyle name="20% - Accent3 3 8 2" xfId="12975" xr:uid="{AB4628E9-EF24-4C24-B77A-A8F30266FA0E}"/>
    <cellStyle name="20% - Accent3 3 9" xfId="8757" xr:uid="{09530488-054F-4084-8421-95697672959F}"/>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2 2 2" xfId="15536" xr:uid="{9052E755-9E6C-438C-8F52-9E993567474A}"/>
    <cellStyle name="20% - Accent3 4 2 2 3" xfId="11318" xr:uid="{441BFEB5-729E-4BD9-BF04-2187F06E1CB5}"/>
    <cellStyle name="20% - Accent3 4 2 3" xfId="4941" xr:uid="{00000000-0005-0000-0000-0000BE010000}"/>
    <cellStyle name="20% - Accent3 4 2 3 2" xfId="13391" xr:uid="{3163001E-A37F-440D-8B4C-14B46D3E8088}"/>
    <cellStyle name="20% - Accent3 4 2 4" xfId="9173" xr:uid="{9BBAF238-6A89-4781-8E87-CED577F8450E}"/>
    <cellStyle name="20% - Accent3 4 3" xfId="1046" xr:uid="{00000000-0005-0000-0000-0000BF010000}"/>
    <cellStyle name="20% - Accent3 4 3 2" xfId="3277" xr:uid="{00000000-0005-0000-0000-0000C0010000}"/>
    <cellStyle name="20% - Accent3 4 3 2 2" xfId="7499" xr:uid="{00000000-0005-0000-0000-0000C1010000}"/>
    <cellStyle name="20% - Accent3 4 3 2 2 2" xfId="15949" xr:uid="{78A101C0-F15C-4617-BF41-4D2842F31A85}"/>
    <cellStyle name="20% - Accent3 4 3 2 3" xfId="11731" xr:uid="{1699BE9A-4117-4ABF-8DF2-21B7D242448B}"/>
    <cellStyle name="20% - Accent3 4 3 3" xfId="5354" xr:uid="{00000000-0005-0000-0000-0000C2010000}"/>
    <cellStyle name="20% - Accent3 4 3 3 2" xfId="13804" xr:uid="{A24D3CA6-DEC3-4E6A-9720-B65BFAA58119}"/>
    <cellStyle name="20% - Accent3 4 3 4" xfId="9586" xr:uid="{5C291CD8-9848-4DEF-82F2-F9B2F8925E7F}"/>
    <cellStyle name="20% - Accent3 4 4" xfId="1460" xr:uid="{00000000-0005-0000-0000-0000C3010000}"/>
    <cellStyle name="20% - Accent3 4 4 2" xfId="3690" xr:uid="{00000000-0005-0000-0000-0000C4010000}"/>
    <cellStyle name="20% - Accent3 4 4 2 2" xfId="7912" xr:uid="{00000000-0005-0000-0000-0000C5010000}"/>
    <cellStyle name="20% - Accent3 4 4 2 2 2" xfId="16362" xr:uid="{0644B8DB-3F3E-4A52-A128-17B41F5A7618}"/>
    <cellStyle name="20% - Accent3 4 4 2 3" xfId="12144" xr:uid="{DDECE3A1-D478-40B1-927C-EFB43360B8EA}"/>
    <cellStyle name="20% - Accent3 4 4 3" xfId="5767" xr:uid="{00000000-0005-0000-0000-0000C6010000}"/>
    <cellStyle name="20% - Accent3 4 4 3 2" xfId="14217" xr:uid="{713F52FA-3F39-4D11-8A77-D3D22938EE1A}"/>
    <cellStyle name="20% - Accent3 4 4 4" xfId="9999" xr:uid="{4550678F-7E56-4939-AF27-067CC5DE9733}"/>
    <cellStyle name="20% - Accent3 4 5" xfId="1874" xr:uid="{00000000-0005-0000-0000-0000C7010000}"/>
    <cellStyle name="20% - Accent3 4 5 2" xfId="4103" xr:uid="{00000000-0005-0000-0000-0000C8010000}"/>
    <cellStyle name="20% - Accent3 4 5 2 2" xfId="8325" xr:uid="{00000000-0005-0000-0000-0000C9010000}"/>
    <cellStyle name="20% - Accent3 4 5 2 2 2" xfId="16775" xr:uid="{37604F91-4292-4A20-8F56-6D80F95A556A}"/>
    <cellStyle name="20% - Accent3 4 5 2 3" xfId="12557" xr:uid="{6CAED352-EEA6-444D-B01D-4686396F43AD}"/>
    <cellStyle name="20% - Accent3 4 5 3" xfId="6180" xr:uid="{00000000-0005-0000-0000-0000CA010000}"/>
    <cellStyle name="20% - Accent3 4 5 3 2" xfId="14630" xr:uid="{389AE370-4D62-4F93-BE2E-59651514FC7D}"/>
    <cellStyle name="20% - Accent3 4 5 4" xfId="10412" xr:uid="{9B89D7BB-DCE5-4221-8253-E1FE1A0B72AF}"/>
    <cellStyle name="20% - Accent3 4 6" xfId="2287" xr:uid="{00000000-0005-0000-0000-0000CB010000}"/>
    <cellStyle name="20% - Accent3 4 6 2" xfId="6593" xr:uid="{00000000-0005-0000-0000-0000CC010000}"/>
    <cellStyle name="20% - Accent3 4 6 2 2" xfId="15043" xr:uid="{FE420FF2-3880-45A4-B263-F59BE5F8D9D6}"/>
    <cellStyle name="20% - Accent3 4 6 3" xfId="10825" xr:uid="{D72FEFB5-95F8-4125-9309-5CB6C781CB56}"/>
    <cellStyle name="20% - Accent3 4 7" xfId="4527" xr:uid="{00000000-0005-0000-0000-0000CD010000}"/>
    <cellStyle name="20% - Accent3 4 7 2" xfId="12977" xr:uid="{0977BBEB-2BC8-4CE1-BA8F-EC7BE97A6455}"/>
    <cellStyle name="20% - Accent3 4 8" xfId="8759" xr:uid="{2219880D-E425-478C-B542-24CA7F747291}"/>
    <cellStyle name="20% - Accent3 5" xfId="586" xr:uid="{00000000-0005-0000-0000-0000CE010000}"/>
    <cellStyle name="20% - Accent3 5 2" xfId="2857" xr:uid="{00000000-0005-0000-0000-0000CF010000}"/>
    <cellStyle name="20% - Accent3 5 2 2" xfId="7079" xr:uid="{00000000-0005-0000-0000-0000D0010000}"/>
    <cellStyle name="20% - Accent3 5 2 2 2" xfId="15529" xr:uid="{99CACC1C-5C4D-49E4-BCA6-C82F22BC93EA}"/>
    <cellStyle name="20% - Accent3 5 2 3" xfId="11311" xr:uid="{5B0902F7-8C92-4CA3-A501-E9DF14C3ADE0}"/>
    <cellStyle name="20% - Accent3 5 3" xfId="4934" xr:uid="{00000000-0005-0000-0000-0000D1010000}"/>
    <cellStyle name="20% - Accent3 5 3 2" xfId="13384" xr:uid="{3A62C601-A32E-427C-B0CE-3B39049818A6}"/>
    <cellStyle name="20% - Accent3 5 4" xfId="9166" xr:uid="{8FA4695A-5A9A-40E2-B614-124B13EAF3C7}"/>
    <cellStyle name="20% - Accent3 6" xfId="1039" xr:uid="{00000000-0005-0000-0000-0000D2010000}"/>
    <cellStyle name="20% - Accent3 6 2" xfId="3270" xr:uid="{00000000-0005-0000-0000-0000D3010000}"/>
    <cellStyle name="20% - Accent3 6 2 2" xfId="7492" xr:uid="{00000000-0005-0000-0000-0000D4010000}"/>
    <cellStyle name="20% - Accent3 6 2 2 2" xfId="15942" xr:uid="{B0911387-95B1-408C-9790-E552D0278F7B}"/>
    <cellStyle name="20% - Accent3 6 2 3" xfId="11724" xr:uid="{44629B1A-DE1E-4D20-A284-E220EFD33CD0}"/>
    <cellStyle name="20% - Accent3 6 3" xfId="5347" xr:uid="{00000000-0005-0000-0000-0000D5010000}"/>
    <cellStyle name="20% - Accent3 6 3 2" xfId="13797" xr:uid="{9EA6F514-3061-49D6-9DB7-DEEB87F24A83}"/>
    <cellStyle name="20% - Accent3 6 4" xfId="9579" xr:uid="{1B7EF7FE-9123-4560-989A-C19CAA37B29E}"/>
    <cellStyle name="20% - Accent3 7" xfId="1453" xr:uid="{00000000-0005-0000-0000-0000D6010000}"/>
    <cellStyle name="20% - Accent3 7 2" xfId="3683" xr:uid="{00000000-0005-0000-0000-0000D7010000}"/>
    <cellStyle name="20% - Accent3 7 2 2" xfId="7905" xr:uid="{00000000-0005-0000-0000-0000D8010000}"/>
    <cellStyle name="20% - Accent3 7 2 2 2" xfId="16355" xr:uid="{E8A97A1D-F5C2-40A0-B22C-D947E12C752A}"/>
    <cellStyle name="20% - Accent3 7 2 3" xfId="12137" xr:uid="{EDDBE9D5-8B1C-4FD2-A959-A1E296199F78}"/>
    <cellStyle name="20% - Accent3 7 3" xfId="5760" xr:uid="{00000000-0005-0000-0000-0000D9010000}"/>
    <cellStyle name="20% - Accent3 7 3 2" xfId="14210" xr:uid="{AC167478-CDC3-4DD9-B53D-24549544CFF4}"/>
    <cellStyle name="20% - Accent3 7 4" xfId="9992" xr:uid="{3200F75D-3635-4560-8D52-2AA86C075495}"/>
    <cellStyle name="20% - Accent3 8" xfId="1867" xr:uid="{00000000-0005-0000-0000-0000DA010000}"/>
    <cellStyle name="20% - Accent3 8 2" xfId="4096" xr:uid="{00000000-0005-0000-0000-0000DB010000}"/>
    <cellStyle name="20% - Accent3 8 2 2" xfId="8318" xr:uid="{00000000-0005-0000-0000-0000DC010000}"/>
    <cellStyle name="20% - Accent3 8 2 2 2" xfId="16768" xr:uid="{461748F1-B3EF-4758-88FC-A676E339226F}"/>
    <cellStyle name="20% - Accent3 8 2 3" xfId="12550" xr:uid="{0E22FBB2-B287-4641-9BA8-9896899888F1}"/>
    <cellStyle name="20% - Accent3 8 3" xfId="6173" xr:uid="{00000000-0005-0000-0000-0000DD010000}"/>
    <cellStyle name="20% - Accent3 8 3 2" xfId="14623" xr:uid="{058F329F-5D1E-486D-8FC3-48537383EA4B}"/>
    <cellStyle name="20% - Accent3 8 4" xfId="10405" xr:uid="{A2DFCF09-B8E3-4BC0-8A39-005EB2E5F602}"/>
    <cellStyle name="20% - Accent3 9" xfId="2280" xr:uid="{00000000-0005-0000-0000-0000DE010000}"/>
    <cellStyle name="20% - Accent3 9 2" xfId="6586" xr:uid="{00000000-0005-0000-0000-0000DF010000}"/>
    <cellStyle name="20% - Accent3 9 2 2" xfId="15036" xr:uid="{CF6F34B3-A4C7-4035-B646-87B80718C210}"/>
    <cellStyle name="20% - Accent3 9 3" xfId="10818" xr:uid="{6E507662-0AFA-4BC8-ABF7-D6E786263E91}"/>
    <cellStyle name="20% - Accent4" xfId="25" builtinId="42" customBuiltin="1"/>
    <cellStyle name="20% - Accent4 10" xfId="4528" xr:uid="{00000000-0005-0000-0000-0000E1010000}"/>
    <cellStyle name="20% - Accent4 10 2" xfId="12978" xr:uid="{6E676BCB-7B39-4C46-B4E1-7753ECD09578}"/>
    <cellStyle name="20% - Accent4 11" xfId="8760" xr:uid="{B8AEB7EE-6615-4331-AA1A-FCECC5143D2E}"/>
    <cellStyle name="20% - Accent4 2" xfId="26" xr:uid="{00000000-0005-0000-0000-0000E2010000}"/>
    <cellStyle name="20% - Accent4 2 10" xfId="8761" xr:uid="{7F8E9C44-674C-4461-8BEC-1749C4E5DACA}"/>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2 2 2" xfId="15540" xr:uid="{4CE2E382-88E0-4E68-BF85-346749BE4010}"/>
    <cellStyle name="20% - Accent4 2 2 2 2 2 3" xfId="11322" xr:uid="{B12C7DBB-5241-44F8-8F4E-597D98C71A3B}"/>
    <cellStyle name="20% - Accent4 2 2 2 2 3" xfId="4945" xr:uid="{00000000-0005-0000-0000-0000E8010000}"/>
    <cellStyle name="20% - Accent4 2 2 2 2 3 2" xfId="13395" xr:uid="{0013591D-F469-455D-8B3F-18823C492784}"/>
    <cellStyle name="20% - Accent4 2 2 2 2 4" xfId="9177" xr:uid="{738AC1FA-D09D-48B7-8E91-7842152D0563}"/>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2 2 2" xfId="15953" xr:uid="{2BB5B71C-60C5-4B10-B4D4-1DEFC98948B8}"/>
    <cellStyle name="20% - Accent4 2 2 2 3 2 3" xfId="11735" xr:uid="{8704CADC-E6D6-44CE-B24E-5B1F948DA5A1}"/>
    <cellStyle name="20% - Accent4 2 2 2 3 3" xfId="5358" xr:uid="{00000000-0005-0000-0000-0000EC010000}"/>
    <cellStyle name="20% - Accent4 2 2 2 3 3 2" xfId="13808" xr:uid="{7C847287-7B65-4A95-B405-51691FC4BFE2}"/>
    <cellStyle name="20% - Accent4 2 2 2 3 4" xfId="9590" xr:uid="{54EF603E-8C71-455A-80FB-FAEC639E438A}"/>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2 2 2" xfId="16366" xr:uid="{5504774D-8726-4381-9CBA-EAEA3506E8C7}"/>
    <cellStyle name="20% - Accent4 2 2 2 4 2 3" xfId="12148" xr:uid="{83FF4319-7554-4AB4-B0A9-9444C1B1DFEB}"/>
    <cellStyle name="20% - Accent4 2 2 2 4 3" xfId="5771" xr:uid="{00000000-0005-0000-0000-0000F0010000}"/>
    <cellStyle name="20% - Accent4 2 2 2 4 3 2" xfId="14221" xr:uid="{8A2D95E0-4A43-4114-AF8D-96C8559427E4}"/>
    <cellStyle name="20% - Accent4 2 2 2 4 4" xfId="10003" xr:uid="{2E9A2C3E-0033-46EC-BB66-C07AC3E8EBF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2 2 2" xfId="16779" xr:uid="{3AAD0E60-EB2B-4C3A-82FD-1C1D19086B6F}"/>
    <cellStyle name="20% - Accent4 2 2 2 5 2 3" xfId="12561" xr:uid="{68B203CB-0054-4DBE-977F-802801620E2E}"/>
    <cellStyle name="20% - Accent4 2 2 2 5 3" xfId="6184" xr:uid="{00000000-0005-0000-0000-0000F4010000}"/>
    <cellStyle name="20% - Accent4 2 2 2 5 3 2" xfId="14634" xr:uid="{DBA3DEF5-EB49-4B19-97CD-348BF1A8B178}"/>
    <cellStyle name="20% - Accent4 2 2 2 5 4" xfId="10416" xr:uid="{08D346E2-BA21-4B4A-879C-80349814486F}"/>
    <cellStyle name="20% - Accent4 2 2 2 6" xfId="2291" xr:uid="{00000000-0005-0000-0000-0000F5010000}"/>
    <cellStyle name="20% - Accent4 2 2 2 6 2" xfId="6597" xr:uid="{00000000-0005-0000-0000-0000F6010000}"/>
    <cellStyle name="20% - Accent4 2 2 2 6 2 2" xfId="15047" xr:uid="{BBE69610-C455-4982-86B6-87120BA95E6B}"/>
    <cellStyle name="20% - Accent4 2 2 2 6 3" xfId="10829" xr:uid="{4BEB92CE-D50C-4D03-B587-F79E66B999F1}"/>
    <cellStyle name="20% - Accent4 2 2 2 7" xfId="4531" xr:uid="{00000000-0005-0000-0000-0000F7010000}"/>
    <cellStyle name="20% - Accent4 2 2 2 7 2" xfId="12981" xr:uid="{49E41E13-72BE-409C-9641-9B2F1F02D08D}"/>
    <cellStyle name="20% - Accent4 2 2 2 8" xfId="8763" xr:uid="{D5A51064-868D-4F30-9F04-B0248452C63A}"/>
    <cellStyle name="20% - Accent4 2 2 3" xfId="596" xr:uid="{00000000-0005-0000-0000-0000F8010000}"/>
    <cellStyle name="20% - Accent4 2 2 3 2" xfId="2867" xr:uid="{00000000-0005-0000-0000-0000F9010000}"/>
    <cellStyle name="20% - Accent4 2 2 3 2 2" xfId="7089" xr:uid="{00000000-0005-0000-0000-0000FA010000}"/>
    <cellStyle name="20% - Accent4 2 2 3 2 2 2" xfId="15539" xr:uid="{DA95B1FD-7E08-49EC-9960-8392F5467D4F}"/>
    <cellStyle name="20% - Accent4 2 2 3 2 3" xfId="11321" xr:uid="{D15802FC-5D6E-462D-90E6-767B7A62551C}"/>
    <cellStyle name="20% - Accent4 2 2 3 3" xfId="4944" xr:uid="{00000000-0005-0000-0000-0000FB010000}"/>
    <cellStyle name="20% - Accent4 2 2 3 3 2" xfId="13394" xr:uid="{BDBF747B-0266-4279-9ECB-8D19EFBBE915}"/>
    <cellStyle name="20% - Accent4 2 2 3 4" xfId="9176" xr:uid="{20B2C7B4-ACC3-4DE7-A8EC-49723EDDDAEA}"/>
    <cellStyle name="20% - Accent4 2 2 4" xfId="1049" xr:uid="{00000000-0005-0000-0000-0000FC010000}"/>
    <cellStyle name="20% - Accent4 2 2 4 2" xfId="3280" xr:uid="{00000000-0005-0000-0000-0000FD010000}"/>
    <cellStyle name="20% - Accent4 2 2 4 2 2" xfId="7502" xr:uid="{00000000-0005-0000-0000-0000FE010000}"/>
    <cellStyle name="20% - Accent4 2 2 4 2 2 2" xfId="15952" xr:uid="{2A43E00F-C233-4052-B8AB-C75F13DAA9BF}"/>
    <cellStyle name="20% - Accent4 2 2 4 2 3" xfId="11734" xr:uid="{2BE67FF9-29A0-43FC-B9E3-5D730D9EFD7E}"/>
    <cellStyle name="20% - Accent4 2 2 4 3" xfId="5357" xr:uid="{00000000-0005-0000-0000-0000FF010000}"/>
    <cellStyle name="20% - Accent4 2 2 4 3 2" xfId="13807" xr:uid="{FBD8EB51-FDC6-44F1-B7D2-653060A22D0F}"/>
    <cellStyle name="20% - Accent4 2 2 4 4" xfId="9589" xr:uid="{DFE5604D-0045-42FD-95CD-ABE5F3D3EBB6}"/>
    <cellStyle name="20% - Accent4 2 2 5" xfId="1463" xr:uid="{00000000-0005-0000-0000-000000020000}"/>
    <cellStyle name="20% - Accent4 2 2 5 2" xfId="3693" xr:uid="{00000000-0005-0000-0000-000001020000}"/>
    <cellStyle name="20% - Accent4 2 2 5 2 2" xfId="7915" xr:uid="{00000000-0005-0000-0000-000002020000}"/>
    <cellStyle name="20% - Accent4 2 2 5 2 2 2" xfId="16365" xr:uid="{DB56A260-0A68-498A-AB96-4563BA064C75}"/>
    <cellStyle name="20% - Accent4 2 2 5 2 3" xfId="12147" xr:uid="{55ED43D2-BF06-4947-8EB4-6E32E2215111}"/>
    <cellStyle name="20% - Accent4 2 2 5 3" xfId="5770" xr:uid="{00000000-0005-0000-0000-000003020000}"/>
    <cellStyle name="20% - Accent4 2 2 5 3 2" xfId="14220" xr:uid="{AD6FF6C7-44AB-4072-812D-3003886480BC}"/>
    <cellStyle name="20% - Accent4 2 2 5 4" xfId="10002" xr:uid="{67306017-8BDE-480A-910E-015905741E8C}"/>
    <cellStyle name="20% - Accent4 2 2 6" xfId="1877" xr:uid="{00000000-0005-0000-0000-000004020000}"/>
    <cellStyle name="20% - Accent4 2 2 6 2" xfId="4106" xr:uid="{00000000-0005-0000-0000-000005020000}"/>
    <cellStyle name="20% - Accent4 2 2 6 2 2" xfId="8328" xr:uid="{00000000-0005-0000-0000-000006020000}"/>
    <cellStyle name="20% - Accent4 2 2 6 2 2 2" xfId="16778" xr:uid="{70F1698D-D26B-4930-AE83-2B782B7B5FB0}"/>
    <cellStyle name="20% - Accent4 2 2 6 2 3" xfId="12560" xr:uid="{C9800BBA-0F42-4935-811D-F67528CB4082}"/>
    <cellStyle name="20% - Accent4 2 2 6 3" xfId="6183" xr:uid="{00000000-0005-0000-0000-000007020000}"/>
    <cellStyle name="20% - Accent4 2 2 6 3 2" xfId="14633" xr:uid="{CD037A29-F0BA-442D-96D2-712FC892AB64}"/>
    <cellStyle name="20% - Accent4 2 2 6 4" xfId="10415" xr:uid="{26AD04D5-3E34-4616-B5AC-2BF3A779FF0F}"/>
    <cellStyle name="20% - Accent4 2 2 7" xfId="2290" xr:uid="{00000000-0005-0000-0000-000008020000}"/>
    <cellStyle name="20% - Accent4 2 2 7 2" xfId="6596" xr:uid="{00000000-0005-0000-0000-000009020000}"/>
    <cellStyle name="20% - Accent4 2 2 7 2 2" xfId="15046" xr:uid="{35314E54-3DFD-4511-9BBC-5792D06E5810}"/>
    <cellStyle name="20% - Accent4 2 2 7 3" xfId="10828" xr:uid="{B4C03469-5CF8-40FB-A8F1-C434D04B0DAE}"/>
    <cellStyle name="20% - Accent4 2 2 8" xfId="4530" xr:uid="{00000000-0005-0000-0000-00000A020000}"/>
    <cellStyle name="20% - Accent4 2 2 8 2" xfId="12980" xr:uid="{AAAACB4E-4FA0-45AF-B451-2922832033A5}"/>
    <cellStyle name="20% - Accent4 2 2 9" xfId="8762" xr:uid="{599F2DC8-8A70-4236-97EA-7C4A475374DF}"/>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2 2 2" xfId="15541" xr:uid="{4B966319-BDA7-4F12-83AE-6E06C1DCF198}"/>
    <cellStyle name="20% - Accent4 2 3 2 2 3" xfId="11323" xr:uid="{4292DF28-A003-4A5D-9219-B78929A3B7D7}"/>
    <cellStyle name="20% - Accent4 2 3 2 3" xfId="4946" xr:uid="{00000000-0005-0000-0000-00000F020000}"/>
    <cellStyle name="20% - Accent4 2 3 2 3 2" xfId="13396" xr:uid="{BCF3A310-A12B-4AD4-BFB5-55A0E80FF523}"/>
    <cellStyle name="20% - Accent4 2 3 2 4" xfId="9178" xr:uid="{953A8CE8-6A01-4CC4-8B79-7A0C58509D45}"/>
    <cellStyle name="20% - Accent4 2 3 3" xfId="1051" xr:uid="{00000000-0005-0000-0000-000010020000}"/>
    <cellStyle name="20% - Accent4 2 3 3 2" xfId="3282" xr:uid="{00000000-0005-0000-0000-000011020000}"/>
    <cellStyle name="20% - Accent4 2 3 3 2 2" xfId="7504" xr:uid="{00000000-0005-0000-0000-000012020000}"/>
    <cellStyle name="20% - Accent4 2 3 3 2 2 2" xfId="15954" xr:uid="{E88E400D-B223-45CC-AED3-65F501C4681B}"/>
    <cellStyle name="20% - Accent4 2 3 3 2 3" xfId="11736" xr:uid="{661A5591-8AE4-4CBD-AADD-06BB533CB600}"/>
    <cellStyle name="20% - Accent4 2 3 3 3" xfId="5359" xr:uid="{00000000-0005-0000-0000-000013020000}"/>
    <cellStyle name="20% - Accent4 2 3 3 3 2" xfId="13809" xr:uid="{6B6D1BFD-3BA9-4BD9-90DC-2DCDB8D2581A}"/>
    <cellStyle name="20% - Accent4 2 3 3 4" xfId="9591" xr:uid="{13F8E3A3-2010-43B5-805F-E4D87C00BC89}"/>
    <cellStyle name="20% - Accent4 2 3 4" xfId="1465" xr:uid="{00000000-0005-0000-0000-000014020000}"/>
    <cellStyle name="20% - Accent4 2 3 4 2" xfId="3695" xr:uid="{00000000-0005-0000-0000-000015020000}"/>
    <cellStyle name="20% - Accent4 2 3 4 2 2" xfId="7917" xr:uid="{00000000-0005-0000-0000-000016020000}"/>
    <cellStyle name="20% - Accent4 2 3 4 2 2 2" xfId="16367" xr:uid="{218146E8-CCC5-46BC-891F-9322A34A9FEC}"/>
    <cellStyle name="20% - Accent4 2 3 4 2 3" xfId="12149" xr:uid="{C359E52D-BC1E-424D-A975-EAC6A1A01F2B}"/>
    <cellStyle name="20% - Accent4 2 3 4 3" xfId="5772" xr:uid="{00000000-0005-0000-0000-000017020000}"/>
    <cellStyle name="20% - Accent4 2 3 4 3 2" xfId="14222" xr:uid="{17A66100-56F7-46BB-A593-81E1FF6B4DCB}"/>
    <cellStyle name="20% - Accent4 2 3 4 4" xfId="10004" xr:uid="{6ED1BEFA-572F-4121-8098-F5B9B8C5F15E}"/>
    <cellStyle name="20% - Accent4 2 3 5" xfId="1879" xr:uid="{00000000-0005-0000-0000-000018020000}"/>
    <cellStyle name="20% - Accent4 2 3 5 2" xfId="4108" xr:uid="{00000000-0005-0000-0000-000019020000}"/>
    <cellStyle name="20% - Accent4 2 3 5 2 2" xfId="8330" xr:uid="{00000000-0005-0000-0000-00001A020000}"/>
    <cellStyle name="20% - Accent4 2 3 5 2 2 2" xfId="16780" xr:uid="{0B5DDCC2-8769-43DF-8781-417F89816A01}"/>
    <cellStyle name="20% - Accent4 2 3 5 2 3" xfId="12562" xr:uid="{6A23F17C-EAA3-47BB-8DA6-DC8814D94076}"/>
    <cellStyle name="20% - Accent4 2 3 5 3" xfId="6185" xr:uid="{00000000-0005-0000-0000-00001B020000}"/>
    <cellStyle name="20% - Accent4 2 3 5 3 2" xfId="14635" xr:uid="{82F3D6B3-7DCE-4D41-A0D2-77626E5C87E6}"/>
    <cellStyle name="20% - Accent4 2 3 5 4" xfId="10417" xr:uid="{77F0A4D8-47DA-430E-A08B-4CACEC6290E8}"/>
    <cellStyle name="20% - Accent4 2 3 6" xfId="2292" xr:uid="{00000000-0005-0000-0000-00001C020000}"/>
    <cellStyle name="20% - Accent4 2 3 6 2" xfId="6598" xr:uid="{00000000-0005-0000-0000-00001D020000}"/>
    <cellStyle name="20% - Accent4 2 3 6 2 2" xfId="15048" xr:uid="{FCDB38AB-2F62-4B81-A4C2-1E3B3DF3CEAF}"/>
    <cellStyle name="20% - Accent4 2 3 6 3" xfId="10830" xr:uid="{0B3DB077-0935-4CF9-BE75-8579DB6E7E4B}"/>
    <cellStyle name="20% - Accent4 2 3 7" xfId="4532" xr:uid="{00000000-0005-0000-0000-00001E020000}"/>
    <cellStyle name="20% - Accent4 2 3 7 2" xfId="12982" xr:uid="{F735F15C-9B34-4500-8270-DE9B9D1A2134}"/>
    <cellStyle name="20% - Accent4 2 3 8" xfId="8764" xr:uid="{B396D46E-9DDB-4A14-A016-DACBBED970C9}"/>
    <cellStyle name="20% - Accent4 2 4" xfId="595" xr:uid="{00000000-0005-0000-0000-00001F020000}"/>
    <cellStyle name="20% - Accent4 2 4 2" xfId="2866" xr:uid="{00000000-0005-0000-0000-000020020000}"/>
    <cellStyle name="20% - Accent4 2 4 2 2" xfId="7088" xr:uid="{00000000-0005-0000-0000-000021020000}"/>
    <cellStyle name="20% - Accent4 2 4 2 2 2" xfId="15538" xr:uid="{DC328E49-2E91-46D8-8510-1CF77C7A16B0}"/>
    <cellStyle name="20% - Accent4 2 4 2 3" xfId="11320" xr:uid="{F5C6583D-453D-45C9-AF4F-3ACC0A7AE2ED}"/>
    <cellStyle name="20% - Accent4 2 4 3" xfId="4943" xr:uid="{00000000-0005-0000-0000-000022020000}"/>
    <cellStyle name="20% - Accent4 2 4 3 2" xfId="13393" xr:uid="{30DE90E6-F017-4F2A-ACCC-9F9E1104DD7A}"/>
    <cellStyle name="20% - Accent4 2 4 4" xfId="9175" xr:uid="{3451A1B5-CD9C-4119-B071-1EC3876082F4}"/>
    <cellStyle name="20% - Accent4 2 5" xfId="1048" xr:uid="{00000000-0005-0000-0000-000023020000}"/>
    <cellStyle name="20% - Accent4 2 5 2" xfId="3279" xr:uid="{00000000-0005-0000-0000-000024020000}"/>
    <cellStyle name="20% - Accent4 2 5 2 2" xfId="7501" xr:uid="{00000000-0005-0000-0000-000025020000}"/>
    <cellStyle name="20% - Accent4 2 5 2 2 2" xfId="15951" xr:uid="{46A8E050-7CB4-4D96-8183-4F944C0A1104}"/>
    <cellStyle name="20% - Accent4 2 5 2 3" xfId="11733" xr:uid="{75AA87B5-804A-4DEB-9ED2-5204D96A9503}"/>
    <cellStyle name="20% - Accent4 2 5 3" xfId="5356" xr:uid="{00000000-0005-0000-0000-000026020000}"/>
    <cellStyle name="20% - Accent4 2 5 3 2" xfId="13806" xr:uid="{C8ACC103-4384-426A-8713-21366ABA5561}"/>
    <cellStyle name="20% - Accent4 2 5 4" xfId="9588" xr:uid="{189E098B-60EF-44D5-BE34-85F763BE7956}"/>
    <cellStyle name="20% - Accent4 2 6" xfId="1462" xr:uid="{00000000-0005-0000-0000-000027020000}"/>
    <cellStyle name="20% - Accent4 2 6 2" xfId="3692" xr:uid="{00000000-0005-0000-0000-000028020000}"/>
    <cellStyle name="20% - Accent4 2 6 2 2" xfId="7914" xr:uid="{00000000-0005-0000-0000-000029020000}"/>
    <cellStyle name="20% - Accent4 2 6 2 2 2" xfId="16364" xr:uid="{DB3AF717-D11B-4491-A8E0-F99BD0684648}"/>
    <cellStyle name="20% - Accent4 2 6 2 3" xfId="12146" xr:uid="{B35C5837-6CFF-44CB-ACE5-B2B2C99ADA3C}"/>
    <cellStyle name="20% - Accent4 2 6 3" xfId="5769" xr:uid="{00000000-0005-0000-0000-00002A020000}"/>
    <cellStyle name="20% - Accent4 2 6 3 2" xfId="14219" xr:uid="{2D3BC228-36DD-4B1C-98A2-3FA22D6A9255}"/>
    <cellStyle name="20% - Accent4 2 6 4" xfId="10001" xr:uid="{B78E6CCE-41C1-463A-AF38-1C90E79D82A7}"/>
    <cellStyle name="20% - Accent4 2 7" xfId="1876" xr:uid="{00000000-0005-0000-0000-00002B020000}"/>
    <cellStyle name="20% - Accent4 2 7 2" xfId="4105" xr:uid="{00000000-0005-0000-0000-00002C020000}"/>
    <cellStyle name="20% - Accent4 2 7 2 2" xfId="8327" xr:uid="{00000000-0005-0000-0000-00002D020000}"/>
    <cellStyle name="20% - Accent4 2 7 2 2 2" xfId="16777" xr:uid="{C81BE7EF-100D-475A-8E77-78C522F33C50}"/>
    <cellStyle name="20% - Accent4 2 7 2 3" xfId="12559" xr:uid="{7858658B-298D-4D9B-88D0-EA802BF91475}"/>
    <cellStyle name="20% - Accent4 2 7 3" xfId="6182" xr:uid="{00000000-0005-0000-0000-00002E020000}"/>
    <cellStyle name="20% - Accent4 2 7 3 2" xfId="14632" xr:uid="{C2336F21-A529-4C2D-A793-4AEAFFADDCA8}"/>
    <cellStyle name="20% - Accent4 2 7 4" xfId="10414" xr:uid="{86CD3671-192E-4D71-B9E6-2A735ADCDFC0}"/>
    <cellStyle name="20% - Accent4 2 8" xfId="2289" xr:uid="{00000000-0005-0000-0000-00002F020000}"/>
    <cellStyle name="20% - Accent4 2 8 2" xfId="6595" xr:uid="{00000000-0005-0000-0000-000030020000}"/>
    <cellStyle name="20% - Accent4 2 8 2 2" xfId="15045" xr:uid="{6956B01E-67B1-476B-9CA1-31E881313411}"/>
    <cellStyle name="20% - Accent4 2 8 3" xfId="10827" xr:uid="{5262B041-7D2C-420E-B3D4-032CB4E7F37B}"/>
    <cellStyle name="20% - Accent4 2 9" xfId="4529" xr:uid="{00000000-0005-0000-0000-000031020000}"/>
    <cellStyle name="20% - Accent4 2 9 2" xfId="12979" xr:uid="{342C9503-C96A-454A-B988-D5DD379DF4AA}"/>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2 2 2" xfId="15543" xr:uid="{B9A23455-22B1-4FF0-B329-7CA1F57EED91}"/>
    <cellStyle name="20% - Accent4 3 2 2 2 3" xfId="11325" xr:uid="{5CA65110-52EB-4FBF-A4B6-A89568817A2C}"/>
    <cellStyle name="20% - Accent4 3 2 2 3" xfId="4948" xr:uid="{00000000-0005-0000-0000-000037020000}"/>
    <cellStyle name="20% - Accent4 3 2 2 3 2" xfId="13398" xr:uid="{BB6DCE6B-C644-4FB0-AC86-D27070EB460C}"/>
    <cellStyle name="20% - Accent4 3 2 2 4" xfId="9180" xr:uid="{E5A106D7-4758-4B9D-8541-D56F38D3F2A8}"/>
    <cellStyle name="20% - Accent4 3 2 3" xfId="1053" xr:uid="{00000000-0005-0000-0000-000038020000}"/>
    <cellStyle name="20% - Accent4 3 2 3 2" xfId="3284" xr:uid="{00000000-0005-0000-0000-000039020000}"/>
    <cellStyle name="20% - Accent4 3 2 3 2 2" xfId="7506" xr:uid="{00000000-0005-0000-0000-00003A020000}"/>
    <cellStyle name="20% - Accent4 3 2 3 2 2 2" xfId="15956" xr:uid="{EA346577-DB77-481E-B89B-9AF92DE0A885}"/>
    <cellStyle name="20% - Accent4 3 2 3 2 3" xfId="11738" xr:uid="{7BC26C8C-FB17-4DF1-BE45-A3BB4D20094C}"/>
    <cellStyle name="20% - Accent4 3 2 3 3" xfId="5361" xr:uid="{00000000-0005-0000-0000-00003B020000}"/>
    <cellStyle name="20% - Accent4 3 2 3 3 2" xfId="13811" xr:uid="{24DE37A0-76F4-4B81-9C4B-41E9855E6955}"/>
    <cellStyle name="20% - Accent4 3 2 3 4" xfId="9593" xr:uid="{AE0DACF6-7E71-4EEB-9858-38D65960ECE4}"/>
    <cellStyle name="20% - Accent4 3 2 4" xfId="1467" xr:uid="{00000000-0005-0000-0000-00003C020000}"/>
    <cellStyle name="20% - Accent4 3 2 4 2" xfId="3697" xr:uid="{00000000-0005-0000-0000-00003D020000}"/>
    <cellStyle name="20% - Accent4 3 2 4 2 2" xfId="7919" xr:uid="{00000000-0005-0000-0000-00003E020000}"/>
    <cellStyle name="20% - Accent4 3 2 4 2 2 2" xfId="16369" xr:uid="{5AF10ADF-D788-44E1-A7A2-5A5A43AF122D}"/>
    <cellStyle name="20% - Accent4 3 2 4 2 3" xfId="12151" xr:uid="{14D674B6-B0C9-4433-8EA9-4D990DDEBC64}"/>
    <cellStyle name="20% - Accent4 3 2 4 3" xfId="5774" xr:uid="{00000000-0005-0000-0000-00003F020000}"/>
    <cellStyle name="20% - Accent4 3 2 4 3 2" xfId="14224" xr:uid="{A6995F35-AEEF-4A61-8D3A-1E694ED7DE43}"/>
    <cellStyle name="20% - Accent4 3 2 4 4" xfId="10006" xr:uid="{12088BB5-E208-4088-A94E-AD549FC3F72A}"/>
    <cellStyle name="20% - Accent4 3 2 5" xfId="1881" xr:uid="{00000000-0005-0000-0000-000040020000}"/>
    <cellStyle name="20% - Accent4 3 2 5 2" xfId="4110" xr:uid="{00000000-0005-0000-0000-000041020000}"/>
    <cellStyle name="20% - Accent4 3 2 5 2 2" xfId="8332" xr:uid="{00000000-0005-0000-0000-000042020000}"/>
    <cellStyle name="20% - Accent4 3 2 5 2 2 2" xfId="16782" xr:uid="{E485BAFA-D30A-4106-89BA-AAE49A336D30}"/>
    <cellStyle name="20% - Accent4 3 2 5 2 3" xfId="12564" xr:uid="{2F8DFB97-1CDB-495E-818E-3E1955E58D03}"/>
    <cellStyle name="20% - Accent4 3 2 5 3" xfId="6187" xr:uid="{00000000-0005-0000-0000-000043020000}"/>
    <cellStyle name="20% - Accent4 3 2 5 3 2" xfId="14637" xr:uid="{E9D2F082-344C-4B16-BC5A-24AF74487784}"/>
    <cellStyle name="20% - Accent4 3 2 5 4" xfId="10419" xr:uid="{272A89E8-D537-4927-B128-77ACBDA42F1B}"/>
    <cellStyle name="20% - Accent4 3 2 6" xfId="2294" xr:uid="{00000000-0005-0000-0000-000044020000}"/>
    <cellStyle name="20% - Accent4 3 2 6 2" xfId="6600" xr:uid="{00000000-0005-0000-0000-000045020000}"/>
    <cellStyle name="20% - Accent4 3 2 6 2 2" xfId="15050" xr:uid="{B6618ED1-004D-47EE-B6D1-FECE0F45B89E}"/>
    <cellStyle name="20% - Accent4 3 2 6 3" xfId="10832" xr:uid="{9FCD3E0C-9786-48BD-BCDB-3DD492E09678}"/>
    <cellStyle name="20% - Accent4 3 2 7" xfId="4534" xr:uid="{00000000-0005-0000-0000-000046020000}"/>
    <cellStyle name="20% - Accent4 3 2 7 2" xfId="12984" xr:uid="{E406BA40-0B50-4D44-A85D-33BB90FFFCC8}"/>
    <cellStyle name="20% - Accent4 3 2 8" xfId="8766" xr:uid="{3D86774B-9465-4BC7-A872-E599522D330B}"/>
    <cellStyle name="20% - Accent4 3 3" xfId="599" xr:uid="{00000000-0005-0000-0000-000047020000}"/>
    <cellStyle name="20% - Accent4 3 3 2" xfId="2870" xr:uid="{00000000-0005-0000-0000-000048020000}"/>
    <cellStyle name="20% - Accent4 3 3 2 2" xfId="7092" xr:uid="{00000000-0005-0000-0000-000049020000}"/>
    <cellStyle name="20% - Accent4 3 3 2 2 2" xfId="15542" xr:uid="{E9F28DE7-1970-4AA1-B8DB-66CF9EEE90ED}"/>
    <cellStyle name="20% - Accent4 3 3 2 3" xfId="11324" xr:uid="{10280C3C-D056-4769-B043-AA294062CA50}"/>
    <cellStyle name="20% - Accent4 3 3 3" xfId="4947" xr:uid="{00000000-0005-0000-0000-00004A020000}"/>
    <cellStyle name="20% - Accent4 3 3 3 2" xfId="13397" xr:uid="{CF8EA726-A8AD-4E5C-80A7-554BE1B6EE53}"/>
    <cellStyle name="20% - Accent4 3 3 4" xfId="9179" xr:uid="{F241B589-532A-45FD-996B-FE1B28F761EC}"/>
    <cellStyle name="20% - Accent4 3 4" xfId="1052" xr:uid="{00000000-0005-0000-0000-00004B020000}"/>
    <cellStyle name="20% - Accent4 3 4 2" xfId="3283" xr:uid="{00000000-0005-0000-0000-00004C020000}"/>
    <cellStyle name="20% - Accent4 3 4 2 2" xfId="7505" xr:uid="{00000000-0005-0000-0000-00004D020000}"/>
    <cellStyle name="20% - Accent4 3 4 2 2 2" xfId="15955" xr:uid="{050924C8-DCB9-4D12-82FD-004B19A5C2E7}"/>
    <cellStyle name="20% - Accent4 3 4 2 3" xfId="11737" xr:uid="{94CCE388-E15F-4309-8702-4215BE05B3BE}"/>
    <cellStyle name="20% - Accent4 3 4 3" xfId="5360" xr:uid="{00000000-0005-0000-0000-00004E020000}"/>
    <cellStyle name="20% - Accent4 3 4 3 2" xfId="13810" xr:uid="{9196217D-F0AE-4FB5-B682-68B83A5E1079}"/>
    <cellStyle name="20% - Accent4 3 4 4" xfId="9592" xr:uid="{D38E4ADD-3F64-4079-8C7C-11318F87194C}"/>
    <cellStyle name="20% - Accent4 3 5" xfId="1466" xr:uid="{00000000-0005-0000-0000-00004F020000}"/>
    <cellStyle name="20% - Accent4 3 5 2" xfId="3696" xr:uid="{00000000-0005-0000-0000-000050020000}"/>
    <cellStyle name="20% - Accent4 3 5 2 2" xfId="7918" xr:uid="{00000000-0005-0000-0000-000051020000}"/>
    <cellStyle name="20% - Accent4 3 5 2 2 2" xfId="16368" xr:uid="{A9AB723A-1389-4293-842F-5F710CE5722C}"/>
    <cellStyle name="20% - Accent4 3 5 2 3" xfId="12150" xr:uid="{A0B21EAC-8625-475D-8BFD-A3F857502BEB}"/>
    <cellStyle name="20% - Accent4 3 5 3" xfId="5773" xr:uid="{00000000-0005-0000-0000-000052020000}"/>
    <cellStyle name="20% - Accent4 3 5 3 2" xfId="14223" xr:uid="{416B58C6-4E66-4957-95FD-D90729B9DDD3}"/>
    <cellStyle name="20% - Accent4 3 5 4" xfId="10005" xr:uid="{6AD2AE4A-8A07-4F07-B28F-DD12A0A9BC86}"/>
    <cellStyle name="20% - Accent4 3 6" xfId="1880" xr:uid="{00000000-0005-0000-0000-000053020000}"/>
    <cellStyle name="20% - Accent4 3 6 2" xfId="4109" xr:uid="{00000000-0005-0000-0000-000054020000}"/>
    <cellStyle name="20% - Accent4 3 6 2 2" xfId="8331" xr:uid="{00000000-0005-0000-0000-000055020000}"/>
    <cellStyle name="20% - Accent4 3 6 2 2 2" xfId="16781" xr:uid="{AAD3583A-EB80-4656-A47C-832CB4EF541D}"/>
    <cellStyle name="20% - Accent4 3 6 2 3" xfId="12563" xr:uid="{695493FA-9E3B-47BD-BC3B-093211B5E69E}"/>
    <cellStyle name="20% - Accent4 3 6 3" xfId="6186" xr:uid="{00000000-0005-0000-0000-000056020000}"/>
    <cellStyle name="20% - Accent4 3 6 3 2" xfId="14636" xr:uid="{436625D6-6AAE-4269-A62F-DA2478E168D7}"/>
    <cellStyle name="20% - Accent4 3 6 4" xfId="10418" xr:uid="{3EE4EDB4-107E-4D24-AF2C-F1F066C9B2FA}"/>
    <cellStyle name="20% - Accent4 3 7" xfId="2293" xr:uid="{00000000-0005-0000-0000-000057020000}"/>
    <cellStyle name="20% - Accent4 3 7 2" xfId="6599" xr:uid="{00000000-0005-0000-0000-000058020000}"/>
    <cellStyle name="20% - Accent4 3 7 2 2" xfId="15049" xr:uid="{F8302C7A-F2B5-4242-A3C8-5C0017975921}"/>
    <cellStyle name="20% - Accent4 3 7 3" xfId="10831" xr:uid="{CE8F281A-58AB-4A48-A9C2-8D0C39034DFC}"/>
    <cellStyle name="20% - Accent4 3 8" xfId="4533" xr:uid="{00000000-0005-0000-0000-000059020000}"/>
    <cellStyle name="20% - Accent4 3 8 2" xfId="12983" xr:uid="{FEE0054C-8277-4EF3-8625-1342A5A606C1}"/>
    <cellStyle name="20% - Accent4 3 9" xfId="8765" xr:uid="{DB626F23-E27B-4D6E-B97C-84A3D47B0CEC}"/>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2 2 2" xfId="15544" xr:uid="{0C62EEB3-B991-40EF-AB89-5E5E8CD2BE29}"/>
    <cellStyle name="20% - Accent4 4 2 2 3" xfId="11326" xr:uid="{BB1F71D1-3E56-48E6-B09F-9DE0E425EE14}"/>
    <cellStyle name="20% - Accent4 4 2 3" xfId="4949" xr:uid="{00000000-0005-0000-0000-00005E020000}"/>
    <cellStyle name="20% - Accent4 4 2 3 2" xfId="13399" xr:uid="{BB90B398-258C-4CBD-B5F4-BC1DABDB21B4}"/>
    <cellStyle name="20% - Accent4 4 2 4" xfId="9181" xr:uid="{863A6598-A557-4C41-9632-42A720DA6E51}"/>
    <cellStyle name="20% - Accent4 4 3" xfId="1054" xr:uid="{00000000-0005-0000-0000-00005F020000}"/>
    <cellStyle name="20% - Accent4 4 3 2" xfId="3285" xr:uid="{00000000-0005-0000-0000-000060020000}"/>
    <cellStyle name="20% - Accent4 4 3 2 2" xfId="7507" xr:uid="{00000000-0005-0000-0000-000061020000}"/>
    <cellStyle name="20% - Accent4 4 3 2 2 2" xfId="15957" xr:uid="{020F2A82-1E66-4C32-B671-78C3F5584070}"/>
    <cellStyle name="20% - Accent4 4 3 2 3" xfId="11739" xr:uid="{A07D2637-9FD7-495B-8E1C-756A3673EEE1}"/>
    <cellStyle name="20% - Accent4 4 3 3" xfId="5362" xr:uid="{00000000-0005-0000-0000-000062020000}"/>
    <cellStyle name="20% - Accent4 4 3 3 2" xfId="13812" xr:uid="{C9DCC53A-9DEA-4680-8C9F-4D4C54E5CEF5}"/>
    <cellStyle name="20% - Accent4 4 3 4" xfId="9594" xr:uid="{D51AF733-BB65-427C-BDF3-9CAB4504FEC4}"/>
    <cellStyle name="20% - Accent4 4 4" xfId="1468" xr:uid="{00000000-0005-0000-0000-000063020000}"/>
    <cellStyle name="20% - Accent4 4 4 2" xfId="3698" xr:uid="{00000000-0005-0000-0000-000064020000}"/>
    <cellStyle name="20% - Accent4 4 4 2 2" xfId="7920" xr:uid="{00000000-0005-0000-0000-000065020000}"/>
    <cellStyle name="20% - Accent4 4 4 2 2 2" xfId="16370" xr:uid="{CD52413E-E019-4B1A-A510-EAC791A2F2E8}"/>
    <cellStyle name="20% - Accent4 4 4 2 3" xfId="12152" xr:uid="{BC6E524F-ECD7-4FB4-AE92-D4C737265492}"/>
    <cellStyle name="20% - Accent4 4 4 3" xfId="5775" xr:uid="{00000000-0005-0000-0000-000066020000}"/>
    <cellStyle name="20% - Accent4 4 4 3 2" xfId="14225" xr:uid="{1861DE9C-8650-4C62-B6FD-B48734501511}"/>
    <cellStyle name="20% - Accent4 4 4 4" xfId="10007" xr:uid="{2710656F-830F-4550-9CD2-C6A047EEB0CC}"/>
    <cellStyle name="20% - Accent4 4 5" xfId="1882" xr:uid="{00000000-0005-0000-0000-000067020000}"/>
    <cellStyle name="20% - Accent4 4 5 2" xfId="4111" xr:uid="{00000000-0005-0000-0000-000068020000}"/>
    <cellStyle name="20% - Accent4 4 5 2 2" xfId="8333" xr:uid="{00000000-0005-0000-0000-000069020000}"/>
    <cellStyle name="20% - Accent4 4 5 2 2 2" xfId="16783" xr:uid="{20D9B25C-09DC-49F9-895E-14A7317B40B3}"/>
    <cellStyle name="20% - Accent4 4 5 2 3" xfId="12565" xr:uid="{4B6F5A61-E0A8-4DAE-AE4A-255FF29FD408}"/>
    <cellStyle name="20% - Accent4 4 5 3" xfId="6188" xr:uid="{00000000-0005-0000-0000-00006A020000}"/>
    <cellStyle name="20% - Accent4 4 5 3 2" xfId="14638" xr:uid="{33D17F38-8F99-44D0-81AF-0DA7CC28962D}"/>
    <cellStyle name="20% - Accent4 4 5 4" xfId="10420" xr:uid="{9B099796-5EB1-45FD-A477-F38441DE06AF}"/>
    <cellStyle name="20% - Accent4 4 6" xfId="2295" xr:uid="{00000000-0005-0000-0000-00006B020000}"/>
    <cellStyle name="20% - Accent4 4 6 2" xfId="6601" xr:uid="{00000000-0005-0000-0000-00006C020000}"/>
    <cellStyle name="20% - Accent4 4 6 2 2" xfId="15051" xr:uid="{20ECBC09-B40A-4951-8AA1-0ED97DE17376}"/>
    <cellStyle name="20% - Accent4 4 6 3" xfId="10833" xr:uid="{7FC5AD28-4CF7-40DD-B7DE-82418AA0768E}"/>
    <cellStyle name="20% - Accent4 4 7" xfId="4535" xr:uid="{00000000-0005-0000-0000-00006D020000}"/>
    <cellStyle name="20% - Accent4 4 7 2" xfId="12985" xr:uid="{B2EF4E3A-EF37-411B-8DD9-D8D76ED7D6E1}"/>
    <cellStyle name="20% - Accent4 4 8" xfId="8767" xr:uid="{DC7BBD3C-DB1C-49BA-8E4E-FDB88813A9EF}"/>
    <cellStyle name="20% - Accent4 5" xfId="594" xr:uid="{00000000-0005-0000-0000-00006E020000}"/>
    <cellStyle name="20% - Accent4 5 2" xfId="2865" xr:uid="{00000000-0005-0000-0000-00006F020000}"/>
    <cellStyle name="20% - Accent4 5 2 2" xfId="7087" xr:uid="{00000000-0005-0000-0000-000070020000}"/>
    <cellStyle name="20% - Accent4 5 2 2 2" xfId="15537" xr:uid="{F0B0B57D-A74B-46F8-9871-30CB01978DC9}"/>
    <cellStyle name="20% - Accent4 5 2 3" xfId="11319" xr:uid="{7730134C-238E-4DBE-87B2-0DDF118BEDA3}"/>
    <cellStyle name="20% - Accent4 5 3" xfId="4942" xr:uid="{00000000-0005-0000-0000-000071020000}"/>
    <cellStyle name="20% - Accent4 5 3 2" xfId="13392" xr:uid="{408106E8-1B7C-495F-9318-FE541DCF138A}"/>
    <cellStyle name="20% - Accent4 5 4" xfId="9174" xr:uid="{75CDBC4E-D15A-4DDD-B89D-CC81B529413F}"/>
    <cellStyle name="20% - Accent4 6" xfId="1047" xr:uid="{00000000-0005-0000-0000-000072020000}"/>
    <cellStyle name="20% - Accent4 6 2" xfId="3278" xr:uid="{00000000-0005-0000-0000-000073020000}"/>
    <cellStyle name="20% - Accent4 6 2 2" xfId="7500" xr:uid="{00000000-0005-0000-0000-000074020000}"/>
    <cellStyle name="20% - Accent4 6 2 2 2" xfId="15950" xr:uid="{21C40930-EBE9-41BB-B672-E3709FDCE7F5}"/>
    <cellStyle name="20% - Accent4 6 2 3" xfId="11732" xr:uid="{94C68AE1-7FB7-476F-B271-D9E0E937CDBC}"/>
    <cellStyle name="20% - Accent4 6 3" xfId="5355" xr:uid="{00000000-0005-0000-0000-000075020000}"/>
    <cellStyle name="20% - Accent4 6 3 2" xfId="13805" xr:uid="{17D1D5C1-8171-48BC-8407-10A3796A3328}"/>
    <cellStyle name="20% - Accent4 6 4" xfId="9587" xr:uid="{D00B035D-9DE0-4430-A9B7-32AD957A59AA}"/>
    <cellStyle name="20% - Accent4 7" xfId="1461" xr:uid="{00000000-0005-0000-0000-000076020000}"/>
    <cellStyle name="20% - Accent4 7 2" xfId="3691" xr:uid="{00000000-0005-0000-0000-000077020000}"/>
    <cellStyle name="20% - Accent4 7 2 2" xfId="7913" xr:uid="{00000000-0005-0000-0000-000078020000}"/>
    <cellStyle name="20% - Accent4 7 2 2 2" xfId="16363" xr:uid="{C67AC70A-F779-40F1-AED0-DC34C9543245}"/>
    <cellStyle name="20% - Accent4 7 2 3" xfId="12145" xr:uid="{5BC42966-72A5-44C3-A16D-6619EFCB005C}"/>
    <cellStyle name="20% - Accent4 7 3" xfId="5768" xr:uid="{00000000-0005-0000-0000-000079020000}"/>
    <cellStyle name="20% - Accent4 7 3 2" xfId="14218" xr:uid="{3777E066-3B91-4DF1-A8FE-9187372D6B71}"/>
    <cellStyle name="20% - Accent4 7 4" xfId="10000" xr:uid="{28CACA0E-CA0F-4E15-A15F-4499EFDE9385}"/>
    <cellStyle name="20% - Accent4 8" xfId="1875" xr:uid="{00000000-0005-0000-0000-00007A020000}"/>
    <cellStyle name="20% - Accent4 8 2" xfId="4104" xr:uid="{00000000-0005-0000-0000-00007B020000}"/>
    <cellStyle name="20% - Accent4 8 2 2" xfId="8326" xr:uid="{00000000-0005-0000-0000-00007C020000}"/>
    <cellStyle name="20% - Accent4 8 2 2 2" xfId="16776" xr:uid="{9EAB8AC5-19E0-42DB-AE07-99FD22404618}"/>
    <cellStyle name="20% - Accent4 8 2 3" xfId="12558" xr:uid="{43EE9879-F730-405A-BF33-FB2C8A8D2CA6}"/>
    <cellStyle name="20% - Accent4 8 3" xfId="6181" xr:uid="{00000000-0005-0000-0000-00007D020000}"/>
    <cellStyle name="20% - Accent4 8 3 2" xfId="14631" xr:uid="{FFD488E1-C21A-42F1-8BFF-1FA302E36A43}"/>
    <cellStyle name="20% - Accent4 8 4" xfId="10413" xr:uid="{97399DFA-ABF3-47C5-AE96-60CD02B0E3EF}"/>
    <cellStyle name="20% - Accent4 9" xfId="2288" xr:uid="{00000000-0005-0000-0000-00007E020000}"/>
    <cellStyle name="20% - Accent4 9 2" xfId="6594" xr:uid="{00000000-0005-0000-0000-00007F020000}"/>
    <cellStyle name="20% - Accent4 9 2 2" xfId="15044" xr:uid="{379F8A66-B1E4-4FF8-8207-457876D22327}"/>
    <cellStyle name="20% - Accent4 9 3" xfId="10826" xr:uid="{445ABADD-073A-454B-8C77-E0C98E570D93}"/>
    <cellStyle name="20% - Accent5" xfId="33" builtinId="46" customBuiltin="1"/>
    <cellStyle name="20% - Accent5 10" xfId="4536" xr:uid="{00000000-0005-0000-0000-000081020000}"/>
    <cellStyle name="20% - Accent5 10 2" xfId="12986" xr:uid="{3A048BF7-F918-4634-89BC-3F03749E29FE}"/>
    <cellStyle name="20% - Accent5 11" xfId="8768" xr:uid="{0E883A7C-3D10-497B-8A55-B763D1710223}"/>
    <cellStyle name="20% - Accent5 2" xfId="34" xr:uid="{00000000-0005-0000-0000-000082020000}"/>
    <cellStyle name="20% - Accent5 2 10" xfId="8769" xr:uid="{C7119158-BC9F-461A-9AD5-389BC552CFB4}"/>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2 2 2" xfId="15548" xr:uid="{88DA3316-E7BA-403C-BD80-5DF3C49F2B4C}"/>
    <cellStyle name="20% - Accent5 2 2 2 2 2 3" xfId="11330" xr:uid="{D0AA2E5B-5C75-4A22-8191-CC4C2AB75266}"/>
    <cellStyle name="20% - Accent5 2 2 2 2 3" xfId="4953" xr:uid="{00000000-0005-0000-0000-000088020000}"/>
    <cellStyle name="20% - Accent5 2 2 2 2 3 2" xfId="13403" xr:uid="{9999E4C0-F5EF-4C50-8152-597BFA693552}"/>
    <cellStyle name="20% - Accent5 2 2 2 2 4" xfId="9185" xr:uid="{56EC959A-08C0-4F4B-83BC-9F57E4E53EA5}"/>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2 2 2" xfId="15961" xr:uid="{9FB865CC-B2DD-4CFB-A73F-A91442362C1D}"/>
    <cellStyle name="20% - Accent5 2 2 2 3 2 3" xfId="11743" xr:uid="{E9F91413-BEFD-46F4-80C0-654BA2BEB89A}"/>
    <cellStyle name="20% - Accent5 2 2 2 3 3" xfId="5366" xr:uid="{00000000-0005-0000-0000-00008C020000}"/>
    <cellStyle name="20% - Accent5 2 2 2 3 3 2" xfId="13816" xr:uid="{BC9E9B18-C27B-4FCB-BDB2-F2E23918AB7A}"/>
    <cellStyle name="20% - Accent5 2 2 2 3 4" xfId="9598" xr:uid="{2CC7E065-92FA-46BA-89CD-3C4AF03731C7}"/>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2 2 2" xfId="16374" xr:uid="{6B9CCCE4-ED52-4B17-A095-DECF5F2753CB}"/>
    <cellStyle name="20% - Accent5 2 2 2 4 2 3" xfId="12156" xr:uid="{723D1975-E963-4D92-AD8E-649FFCCBE11A}"/>
    <cellStyle name="20% - Accent5 2 2 2 4 3" xfId="5779" xr:uid="{00000000-0005-0000-0000-000090020000}"/>
    <cellStyle name="20% - Accent5 2 2 2 4 3 2" xfId="14229" xr:uid="{153D9BFD-221C-4409-A150-A7B09EB1C3F7}"/>
    <cellStyle name="20% - Accent5 2 2 2 4 4" xfId="10011" xr:uid="{CB2A77A1-F48D-43A1-B93B-6DC61C68552A}"/>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2 2 2" xfId="16787" xr:uid="{A5C680BC-CDE7-4DA2-AAAD-0F9DA4A6A227}"/>
    <cellStyle name="20% - Accent5 2 2 2 5 2 3" xfId="12569" xr:uid="{B2022D37-4725-4183-9F2A-4506DF999BCF}"/>
    <cellStyle name="20% - Accent5 2 2 2 5 3" xfId="6192" xr:uid="{00000000-0005-0000-0000-000094020000}"/>
    <cellStyle name="20% - Accent5 2 2 2 5 3 2" xfId="14642" xr:uid="{AF004D71-612D-449D-BC5B-64C7D3CE1203}"/>
    <cellStyle name="20% - Accent5 2 2 2 5 4" xfId="10424" xr:uid="{B610C52B-F3AB-4647-A048-C4037ECF451C}"/>
    <cellStyle name="20% - Accent5 2 2 2 6" xfId="2299" xr:uid="{00000000-0005-0000-0000-000095020000}"/>
    <cellStyle name="20% - Accent5 2 2 2 6 2" xfId="6605" xr:uid="{00000000-0005-0000-0000-000096020000}"/>
    <cellStyle name="20% - Accent5 2 2 2 6 2 2" xfId="15055" xr:uid="{39566646-25C4-48DC-B008-2156A99FBD3B}"/>
    <cellStyle name="20% - Accent5 2 2 2 6 3" xfId="10837" xr:uid="{1A264B01-D55B-47D4-808B-483F6BBABA21}"/>
    <cellStyle name="20% - Accent5 2 2 2 7" xfId="4539" xr:uid="{00000000-0005-0000-0000-000097020000}"/>
    <cellStyle name="20% - Accent5 2 2 2 7 2" xfId="12989" xr:uid="{2B98015C-7AB6-430C-A094-085E3B26C25C}"/>
    <cellStyle name="20% - Accent5 2 2 2 8" xfId="8771" xr:uid="{BFFBE3BC-2495-443A-B46E-DF5D8CD2FFC9}"/>
    <cellStyle name="20% - Accent5 2 2 3" xfId="604" xr:uid="{00000000-0005-0000-0000-000098020000}"/>
    <cellStyle name="20% - Accent5 2 2 3 2" xfId="2875" xr:uid="{00000000-0005-0000-0000-000099020000}"/>
    <cellStyle name="20% - Accent5 2 2 3 2 2" xfId="7097" xr:uid="{00000000-0005-0000-0000-00009A020000}"/>
    <cellStyle name="20% - Accent5 2 2 3 2 2 2" xfId="15547" xr:uid="{A2A0E4A1-593A-47A7-898A-F21F8AD400A5}"/>
    <cellStyle name="20% - Accent5 2 2 3 2 3" xfId="11329" xr:uid="{999069B2-062C-4374-B637-50EA115ADD96}"/>
    <cellStyle name="20% - Accent5 2 2 3 3" xfId="4952" xr:uid="{00000000-0005-0000-0000-00009B020000}"/>
    <cellStyle name="20% - Accent5 2 2 3 3 2" xfId="13402" xr:uid="{2FD50626-7ABC-4A17-BC31-BEA79E98CF38}"/>
    <cellStyle name="20% - Accent5 2 2 3 4" xfId="9184" xr:uid="{AD4DD766-FD68-4D56-8E20-B5A5C98F2CAB}"/>
    <cellStyle name="20% - Accent5 2 2 4" xfId="1057" xr:uid="{00000000-0005-0000-0000-00009C020000}"/>
    <cellStyle name="20% - Accent5 2 2 4 2" xfId="3288" xr:uid="{00000000-0005-0000-0000-00009D020000}"/>
    <cellStyle name="20% - Accent5 2 2 4 2 2" xfId="7510" xr:uid="{00000000-0005-0000-0000-00009E020000}"/>
    <cellStyle name="20% - Accent5 2 2 4 2 2 2" xfId="15960" xr:uid="{96DA6697-3D4D-4D01-B2B9-ABE29986328C}"/>
    <cellStyle name="20% - Accent5 2 2 4 2 3" xfId="11742" xr:uid="{1658C1A3-FCE2-4290-B749-326BDA5633A9}"/>
    <cellStyle name="20% - Accent5 2 2 4 3" xfId="5365" xr:uid="{00000000-0005-0000-0000-00009F020000}"/>
    <cellStyle name="20% - Accent5 2 2 4 3 2" xfId="13815" xr:uid="{5982E40D-04A8-4A04-BB68-94C752E7A076}"/>
    <cellStyle name="20% - Accent5 2 2 4 4" xfId="9597" xr:uid="{F9F31193-93B8-435D-BF03-A7620B0F0BBC}"/>
    <cellStyle name="20% - Accent5 2 2 5" xfId="1471" xr:uid="{00000000-0005-0000-0000-0000A0020000}"/>
    <cellStyle name="20% - Accent5 2 2 5 2" xfId="3701" xr:uid="{00000000-0005-0000-0000-0000A1020000}"/>
    <cellStyle name="20% - Accent5 2 2 5 2 2" xfId="7923" xr:uid="{00000000-0005-0000-0000-0000A2020000}"/>
    <cellStyle name="20% - Accent5 2 2 5 2 2 2" xfId="16373" xr:uid="{B0BE861A-3621-46F2-80A7-37E1AA554680}"/>
    <cellStyle name="20% - Accent5 2 2 5 2 3" xfId="12155" xr:uid="{30DD6D6F-9951-4E92-BE8F-749D4230573F}"/>
    <cellStyle name="20% - Accent5 2 2 5 3" xfId="5778" xr:uid="{00000000-0005-0000-0000-0000A3020000}"/>
    <cellStyle name="20% - Accent5 2 2 5 3 2" xfId="14228" xr:uid="{600F201C-1610-4428-A69C-8D41B9318064}"/>
    <cellStyle name="20% - Accent5 2 2 5 4" xfId="10010" xr:uid="{421B42D7-D41C-4A7C-838E-D604CEEBE578}"/>
    <cellStyle name="20% - Accent5 2 2 6" xfId="1885" xr:uid="{00000000-0005-0000-0000-0000A4020000}"/>
    <cellStyle name="20% - Accent5 2 2 6 2" xfId="4114" xr:uid="{00000000-0005-0000-0000-0000A5020000}"/>
    <cellStyle name="20% - Accent5 2 2 6 2 2" xfId="8336" xr:uid="{00000000-0005-0000-0000-0000A6020000}"/>
    <cellStyle name="20% - Accent5 2 2 6 2 2 2" xfId="16786" xr:uid="{DA0C13FA-6ED1-4A55-9C9E-EEEAD4976C71}"/>
    <cellStyle name="20% - Accent5 2 2 6 2 3" xfId="12568" xr:uid="{25659D17-A5FD-49FF-99EE-64FC9194F1C1}"/>
    <cellStyle name="20% - Accent5 2 2 6 3" xfId="6191" xr:uid="{00000000-0005-0000-0000-0000A7020000}"/>
    <cellStyle name="20% - Accent5 2 2 6 3 2" xfId="14641" xr:uid="{C766CD8E-F3D7-4726-89B4-4A063C058624}"/>
    <cellStyle name="20% - Accent5 2 2 6 4" xfId="10423" xr:uid="{8CD86394-9DE8-4BFB-979E-7A35BB39D021}"/>
    <cellStyle name="20% - Accent5 2 2 7" xfId="2298" xr:uid="{00000000-0005-0000-0000-0000A8020000}"/>
    <cellStyle name="20% - Accent5 2 2 7 2" xfId="6604" xr:uid="{00000000-0005-0000-0000-0000A9020000}"/>
    <cellStyle name="20% - Accent5 2 2 7 2 2" xfId="15054" xr:uid="{4D9156E7-DF1B-4EC7-8FE1-058B7CA6ABDC}"/>
    <cellStyle name="20% - Accent5 2 2 7 3" xfId="10836" xr:uid="{BFA2B410-BA69-499C-8AE3-6E42D354728E}"/>
    <cellStyle name="20% - Accent5 2 2 8" xfId="4538" xr:uid="{00000000-0005-0000-0000-0000AA020000}"/>
    <cellStyle name="20% - Accent5 2 2 8 2" xfId="12988" xr:uid="{ECC59AA5-3AA2-47FF-B955-F3FCBFC80B9F}"/>
    <cellStyle name="20% - Accent5 2 2 9" xfId="8770" xr:uid="{7EA792E2-AE9B-43A9-A09A-CFA5CB1C91CC}"/>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2 2 2" xfId="15549" xr:uid="{92FA9917-D804-4059-8F66-02B95E102407}"/>
    <cellStyle name="20% - Accent5 2 3 2 2 3" xfId="11331" xr:uid="{F4975E66-72CA-467F-B1CB-07AF1C443614}"/>
    <cellStyle name="20% - Accent5 2 3 2 3" xfId="4954" xr:uid="{00000000-0005-0000-0000-0000AF020000}"/>
    <cellStyle name="20% - Accent5 2 3 2 3 2" xfId="13404" xr:uid="{39891C73-703D-46D2-9EA5-04E02FB9E328}"/>
    <cellStyle name="20% - Accent5 2 3 2 4" xfId="9186" xr:uid="{1DC4FA76-C685-4723-97D2-38C786F96C5F}"/>
    <cellStyle name="20% - Accent5 2 3 3" xfId="1059" xr:uid="{00000000-0005-0000-0000-0000B0020000}"/>
    <cellStyle name="20% - Accent5 2 3 3 2" xfId="3290" xr:uid="{00000000-0005-0000-0000-0000B1020000}"/>
    <cellStyle name="20% - Accent5 2 3 3 2 2" xfId="7512" xr:uid="{00000000-0005-0000-0000-0000B2020000}"/>
    <cellStyle name="20% - Accent5 2 3 3 2 2 2" xfId="15962" xr:uid="{3456550E-211E-49A3-BD78-3AE5549BA038}"/>
    <cellStyle name="20% - Accent5 2 3 3 2 3" xfId="11744" xr:uid="{C75588E9-A2A9-4948-B7AE-A00E23D921F5}"/>
    <cellStyle name="20% - Accent5 2 3 3 3" xfId="5367" xr:uid="{00000000-0005-0000-0000-0000B3020000}"/>
    <cellStyle name="20% - Accent5 2 3 3 3 2" xfId="13817" xr:uid="{55F058D0-5C9B-4ACD-BD32-2FC5910BC3E8}"/>
    <cellStyle name="20% - Accent5 2 3 3 4" xfId="9599" xr:uid="{BD0C8010-74BA-41DB-AA94-FC874F284FD1}"/>
    <cellStyle name="20% - Accent5 2 3 4" xfId="1473" xr:uid="{00000000-0005-0000-0000-0000B4020000}"/>
    <cellStyle name="20% - Accent5 2 3 4 2" xfId="3703" xr:uid="{00000000-0005-0000-0000-0000B5020000}"/>
    <cellStyle name="20% - Accent5 2 3 4 2 2" xfId="7925" xr:uid="{00000000-0005-0000-0000-0000B6020000}"/>
    <cellStyle name="20% - Accent5 2 3 4 2 2 2" xfId="16375" xr:uid="{2039DBB2-553B-4B90-B7C6-B3C725D06344}"/>
    <cellStyle name="20% - Accent5 2 3 4 2 3" xfId="12157" xr:uid="{6051E7FF-ABD4-47B5-AE9E-959054E56801}"/>
    <cellStyle name="20% - Accent5 2 3 4 3" xfId="5780" xr:uid="{00000000-0005-0000-0000-0000B7020000}"/>
    <cellStyle name="20% - Accent5 2 3 4 3 2" xfId="14230" xr:uid="{AABB82AA-2FDA-4A65-83CA-723F216B2513}"/>
    <cellStyle name="20% - Accent5 2 3 4 4" xfId="10012" xr:uid="{08F8673D-E5CB-4AF3-B124-95BD007E6D2B}"/>
    <cellStyle name="20% - Accent5 2 3 5" xfId="1887" xr:uid="{00000000-0005-0000-0000-0000B8020000}"/>
    <cellStyle name="20% - Accent5 2 3 5 2" xfId="4116" xr:uid="{00000000-0005-0000-0000-0000B9020000}"/>
    <cellStyle name="20% - Accent5 2 3 5 2 2" xfId="8338" xr:uid="{00000000-0005-0000-0000-0000BA020000}"/>
    <cellStyle name="20% - Accent5 2 3 5 2 2 2" xfId="16788" xr:uid="{16CA70F8-1C11-460C-A49C-725EE34FC783}"/>
    <cellStyle name="20% - Accent5 2 3 5 2 3" xfId="12570" xr:uid="{9EB0010C-1DA5-489A-950D-9506D5E55ABF}"/>
    <cellStyle name="20% - Accent5 2 3 5 3" xfId="6193" xr:uid="{00000000-0005-0000-0000-0000BB020000}"/>
    <cellStyle name="20% - Accent5 2 3 5 3 2" xfId="14643" xr:uid="{8D08048E-97C1-44E0-B3C7-2217DE970A85}"/>
    <cellStyle name="20% - Accent5 2 3 5 4" xfId="10425" xr:uid="{D8DA4DD0-F894-4E17-BC44-101F0AB646D2}"/>
    <cellStyle name="20% - Accent5 2 3 6" xfId="2300" xr:uid="{00000000-0005-0000-0000-0000BC020000}"/>
    <cellStyle name="20% - Accent5 2 3 6 2" xfId="6606" xr:uid="{00000000-0005-0000-0000-0000BD020000}"/>
    <cellStyle name="20% - Accent5 2 3 6 2 2" xfId="15056" xr:uid="{02A1D2C0-1DF1-48DA-A191-C8CD277CD1A5}"/>
    <cellStyle name="20% - Accent5 2 3 6 3" xfId="10838" xr:uid="{CB4C7D6C-D223-44B9-A05B-ED090A72A82B}"/>
    <cellStyle name="20% - Accent5 2 3 7" xfId="4540" xr:uid="{00000000-0005-0000-0000-0000BE020000}"/>
    <cellStyle name="20% - Accent5 2 3 7 2" xfId="12990" xr:uid="{B44869C2-C45F-4DC6-9A5D-A0DAD69F4600}"/>
    <cellStyle name="20% - Accent5 2 3 8" xfId="8772" xr:uid="{E4A95C97-1F51-4D51-ABF0-4D7EE063774C}"/>
    <cellStyle name="20% - Accent5 2 4" xfId="603" xr:uid="{00000000-0005-0000-0000-0000BF020000}"/>
    <cellStyle name="20% - Accent5 2 4 2" xfId="2874" xr:uid="{00000000-0005-0000-0000-0000C0020000}"/>
    <cellStyle name="20% - Accent5 2 4 2 2" xfId="7096" xr:uid="{00000000-0005-0000-0000-0000C1020000}"/>
    <cellStyle name="20% - Accent5 2 4 2 2 2" xfId="15546" xr:uid="{8E0FF8D2-6905-40AF-924E-D9E14F79E1DB}"/>
    <cellStyle name="20% - Accent5 2 4 2 3" xfId="11328" xr:uid="{BA9102D4-5E19-4E5D-A3DF-BCEE201D4009}"/>
    <cellStyle name="20% - Accent5 2 4 3" xfId="4951" xr:uid="{00000000-0005-0000-0000-0000C2020000}"/>
    <cellStyle name="20% - Accent5 2 4 3 2" xfId="13401" xr:uid="{6C872961-7406-4B60-99DB-A4D6B3DC451A}"/>
    <cellStyle name="20% - Accent5 2 4 4" xfId="9183" xr:uid="{1C630E64-D920-4F96-A6A6-E5106C01434D}"/>
    <cellStyle name="20% - Accent5 2 5" xfId="1056" xr:uid="{00000000-0005-0000-0000-0000C3020000}"/>
    <cellStyle name="20% - Accent5 2 5 2" xfId="3287" xr:uid="{00000000-0005-0000-0000-0000C4020000}"/>
    <cellStyle name="20% - Accent5 2 5 2 2" xfId="7509" xr:uid="{00000000-0005-0000-0000-0000C5020000}"/>
    <cellStyle name="20% - Accent5 2 5 2 2 2" xfId="15959" xr:uid="{CF410B04-F05B-490B-9EE4-12638ADE48CC}"/>
    <cellStyle name="20% - Accent5 2 5 2 3" xfId="11741" xr:uid="{8AC308D2-2261-488E-B9CF-B30E1AE08876}"/>
    <cellStyle name="20% - Accent5 2 5 3" xfId="5364" xr:uid="{00000000-0005-0000-0000-0000C6020000}"/>
    <cellStyle name="20% - Accent5 2 5 3 2" xfId="13814" xr:uid="{FC5506C2-F88C-46A1-B21E-E34716EF7B75}"/>
    <cellStyle name="20% - Accent5 2 5 4" xfId="9596" xr:uid="{04A37CDF-64F5-4C28-B89B-3EEB6C96B311}"/>
    <cellStyle name="20% - Accent5 2 6" xfId="1470" xr:uid="{00000000-0005-0000-0000-0000C7020000}"/>
    <cellStyle name="20% - Accent5 2 6 2" xfId="3700" xr:uid="{00000000-0005-0000-0000-0000C8020000}"/>
    <cellStyle name="20% - Accent5 2 6 2 2" xfId="7922" xr:uid="{00000000-0005-0000-0000-0000C9020000}"/>
    <cellStyle name="20% - Accent5 2 6 2 2 2" xfId="16372" xr:uid="{08702C0C-07B0-499D-9861-00AFE0FAE7D3}"/>
    <cellStyle name="20% - Accent5 2 6 2 3" xfId="12154" xr:uid="{C2DED04E-C3A5-4508-9632-7B0E67A036F7}"/>
    <cellStyle name="20% - Accent5 2 6 3" xfId="5777" xr:uid="{00000000-0005-0000-0000-0000CA020000}"/>
    <cellStyle name="20% - Accent5 2 6 3 2" xfId="14227" xr:uid="{23D44222-F697-495A-991D-37DADD1AC06C}"/>
    <cellStyle name="20% - Accent5 2 6 4" xfId="10009" xr:uid="{9AEFA1EA-6BFB-41B9-9916-1175BBD40F5D}"/>
    <cellStyle name="20% - Accent5 2 7" xfId="1884" xr:uid="{00000000-0005-0000-0000-0000CB020000}"/>
    <cellStyle name="20% - Accent5 2 7 2" xfId="4113" xr:uid="{00000000-0005-0000-0000-0000CC020000}"/>
    <cellStyle name="20% - Accent5 2 7 2 2" xfId="8335" xr:uid="{00000000-0005-0000-0000-0000CD020000}"/>
    <cellStyle name="20% - Accent5 2 7 2 2 2" xfId="16785" xr:uid="{AE0F27BA-194E-4355-BD91-1D7ED8964864}"/>
    <cellStyle name="20% - Accent5 2 7 2 3" xfId="12567" xr:uid="{24F2BED9-98A7-4B83-82EA-C801969CD6AD}"/>
    <cellStyle name="20% - Accent5 2 7 3" xfId="6190" xr:uid="{00000000-0005-0000-0000-0000CE020000}"/>
    <cellStyle name="20% - Accent5 2 7 3 2" xfId="14640" xr:uid="{84128410-074E-49A8-B627-227808A37212}"/>
    <cellStyle name="20% - Accent5 2 7 4" xfId="10422" xr:uid="{5D5D6E54-FA50-4CD5-81F7-A6F720725D38}"/>
    <cellStyle name="20% - Accent5 2 8" xfId="2297" xr:uid="{00000000-0005-0000-0000-0000CF020000}"/>
    <cellStyle name="20% - Accent5 2 8 2" xfId="6603" xr:uid="{00000000-0005-0000-0000-0000D0020000}"/>
    <cellStyle name="20% - Accent5 2 8 2 2" xfId="15053" xr:uid="{3FDB9A3F-6273-4688-9E62-E73342B3B39D}"/>
    <cellStyle name="20% - Accent5 2 8 3" xfId="10835" xr:uid="{D66DD8D5-16E5-4ED6-803B-6E4266048BBB}"/>
    <cellStyle name="20% - Accent5 2 9" xfId="4537" xr:uid="{00000000-0005-0000-0000-0000D1020000}"/>
    <cellStyle name="20% - Accent5 2 9 2" xfId="12987" xr:uid="{A5934700-AB6D-4A69-A5C0-A60C2B7B6D6B}"/>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2 2 2" xfId="15551" xr:uid="{9E82976F-BEAF-477C-9C86-A6A955E60E22}"/>
    <cellStyle name="20% - Accent5 3 2 2 2 3" xfId="11333" xr:uid="{4328523A-DE2E-4877-BD96-11938BC18D56}"/>
    <cellStyle name="20% - Accent5 3 2 2 3" xfId="4956" xr:uid="{00000000-0005-0000-0000-0000D7020000}"/>
    <cellStyle name="20% - Accent5 3 2 2 3 2" xfId="13406" xr:uid="{9BCFF877-ECCC-4377-B937-C2C9DD88217C}"/>
    <cellStyle name="20% - Accent5 3 2 2 4" xfId="9188" xr:uid="{D836A917-A1A1-4244-BFD3-6A38FFD3AD0A}"/>
    <cellStyle name="20% - Accent5 3 2 3" xfId="1061" xr:uid="{00000000-0005-0000-0000-0000D8020000}"/>
    <cellStyle name="20% - Accent5 3 2 3 2" xfId="3292" xr:uid="{00000000-0005-0000-0000-0000D9020000}"/>
    <cellStyle name="20% - Accent5 3 2 3 2 2" xfId="7514" xr:uid="{00000000-0005-0000-0000-0000DA020000}"/>
    <cellStyle name="20% - Accent5 3 2 3 2 2 2" xfId="15964" xr:uid="{8C216176-2B15-4FD0-BB87-270D9C24DAEE}"/>
    <cellStyle name="20% - Accent5 3 2 3 2 3" xfId="11746" xr:uid="{82DC2948-77A4-43FD-ADD9-CC85C193C783}"/>
    <cellStyle name="20% - Accent5 3 2 3 3" xfId="5369" xr:uid="{00000000-0005-0000-0000-0000DB020000}"/>
    <cellStyle name="20% - Accent5 3 2 3 3 2" xfId="13819" xr:uid="{CD77F6A0-24E7-4729-A5E5-182424CAA4F0}"/>
    <cellStyle name="20% - Accent5 3 2 3 4" xfId="9601" xr:uid="{B988E2F1-FC95-4E11-99E4-52B3AEC35D57}"/>
    <cellStyle name="20% - Accent5 3 2 4" xfId="1475" xr:uid="{00000000-0005-0000-0000-0000DC020000}"/>
    <cellStyle name="20% - Accent5 3 2 4 2" xfId="3705" xr:uid="{00000000-0005-0000-0000-0000DD020000}"/>
    <cellStyle name="20% - Accent5 3 2 4 2 2" xfId="7927" xr:uid="{00000000-0005-0000-0000-0000DE020000}"/>
    <cellStyle name="20% - Accent5 3 2 4 2 2 2" xfId="16377" xr:uid="{BD471736-3429-46F7-BCC7-9BC79ED90090}"/>
    <cellStyle name="20% - Accent5 3 2 4 2 3" xfId="12159" xr:uid="{A2B78633-7F37-413F-BE2B-C8631C51E15B}"/>
    <cellStyle name="20% - Accent5 3 2 4 3" xfId="5782" xr:uid="{00000000-0005-0000-0000-0000DF020000}"/>
    <cellStyle name="20% - Accent5 3 2 4 3 2" xfId="14232" xr:uid="{32788DF7-9358-47E1-9604-312FB0C9FA75}"/>
    <cellStyle name="20% - Accent5 3 2 4 4" xfId="10014" xr:uid="{68A0B7FA-4BDF-4E69-9830-2D56FC2BB5A6}"/>
    <cellStyle name="20% - Accent5 3 2 5" xfId="1889" xr:uid="{00000000-0005-0000-0000-0000E0020000}"/>
    <cellStyle name="20% - Accent5 3 2 5 2" xfId="4118" xr:uid="{00000000-0005-0000-0000-0000E1020000}"/>
    <cellStyle name="20% - Accent5 3 2 5 2 2" xfId="8340" xr:uid="{00000000-0005-0000-0000-0000E2020000}"/>
    <cellStyle name="20% - Accent5 3 2 5 2 2 2" xfId="16790" xr:uid="{1C7DC6DA-0F9C-422B-A042-D694AF7F59EB}"/>
    <cellStyle name="20% - Accent5 3 2 5 2 3" xfId="12572" xr:uid="{83E0AB91-5479-4BDD-B6E0-676AD0D8248E}"/>
    <cellStyle name="20% - Accent5 3 2 5 3" xfId="6195" xr:uid="{00000000-0005-0000-0000-0000E3020000}"/>
    <cellStyle name="20% - Accent5 3 2 5 3 2" xfId="14645" xr:uid="{B2A1A107-3C1E-4E0D-BB6B-0713F54E72FE}"/>
    <cellStyle name="20% - Accent5 3 2 5 4" xfId="10427" xr:uid="{8DDAC849-C5E6-4ECF-9BFE-EF9ABBDCE19F}"/>
    <cellStyle name="20% - Accent5 3 2 6" xfId="2302" xr:uid="{00000000-0005-0000-0000-0000E4020000}"/>
    <cellStyle name="20% - Accent5 3 2 6 2" xfId="6608" xr:uid="{00000000-0005-0000-0000-0000E5020000}"/>
    <cellStyle name="20% - Accent5 3 2 6 2 2" xfId="15058" xr:uid="{D0A3E0B6-DA38-4ECE-A777-A3E0D07E4D2A}"/>
    <cellStyle name="20% - Accent5 3 2 6 3" xfId="10840" xr:uid="{B62B32CA-F2C3-4A68-8CC0-8CFD3818264E}"/>
    <cellStyle name="20% - Accent5 3 2 7" xfId="4542" xr:uid="{00000000-0005-0000-0000-0000E6020000}"/>
    <cellStyle name="20% - Accent5 3 2 7 2" xfId="12992" xr:uid="{631E350F-C7B0-41FF-ACF5-D8942ABF0BF4}"/>
    <cellStyle name="20% - Accent5 3 2 8" xfId="8774" xr:uid="{226EA043-284B-43E8-B70E-523A4832AC1C}"/>
    <cellStyle name="20% - Accent5 3 3" xfId="607" xr:uid="{00000000-0005-0000-0000-0000E7020000}"/>
    <cellStyle name="20% - Accent5 3 3 2" xfId="2878" xr:uid="{00000000-0005-0000-0000-0000E8020000}"/>
    <cellStyle name="20% - Accent5 3 3 2 2" xfId="7100" xr:uid="{00000000-0005-0000-0000-0000E9020000}"/>
    <cellStyle name="20% - Accent5 3 3 2 2 2" xfId="15550" xr:uid="{93374F25-88DB-412F-810D-2C715041D974}"/>
    <cellStyle name="20% - Accent5 3 3 2 3" xfId="11332" xr:uid="{F52A4672-9A20-46D0-9BF0-874D763872F4}"/>
    <cellStyle name="20% - Accent5 3 3 3" xfId="4955" xr:uid="{00000000-0005-0000-0000-0000EA020000}"/>
    <cellStyle name="20% - Accent5 3 3 3 2" xfId="13405" xr:uid="{C2330528-AB6A-46CC-AA18-967F67F0790D}"/>
    <cellStyle name="20% - Accent5 3 3 4" xfId="9187" xr:uid="{A2F911FE-E5FD-4068-87F8-5D5E2C5C2012}"/>
    <cellStyle name="20% - Accent5 3 4" xfId="1060" xr:uid="{00000000-0005-0000-0000-0000EB020000}"/>
    <cellStyle name="20% - Accent5 3 4 2" xfId="3291" xr:uid="{00000000-0005-0000-0000-0000EC020000}"/>
    <cellStyle name="20% - Accent5 3 4 2 2" xfId="7513" xr:uid="{00000000-0005-0000-0000-0000ED020000}"/>
    <cellStyle name="20% - Accent5 3 4 2 2 2" xfId="15963" xr:uid="{BAEDFFD0-018A-40BE-A1B5-853697C16158}"/>
    <cellStyle name="20% - Accent5 3 4 2 3" xfId="11745" xr:uid="{DC554F99-A04B-442D-A251-99170B0AFD5F}"/>
    <cellStyle name="20% - Accent5 3 4 3" xfId="5368" xr:uid="{00000000-0005-0000-0000-0000EE020000}"/>
    <cellStyle name="20% - Accent5 3 4 3 2" xfId="13818" xr:uid="{01E5F29C-EF83-4B2C-ABAF-AB115926D4FF}"/>
    <cellStyle name="20% - Accent5 3 4 4" xfId="9600" xr:uid="{3DCAF1D9-DA67-44D7-854F-985E4513B58A}"/>
    <cellStyle name="20% - Accent5 3 5" xfId="1474" xr:uid="{00000000-0005-0000-0000-0000EF020000}"/>
    <cellStyle name="20% - Accent5 3 5 2" xfId="3704" xr:uid="{00000000-0005-0000-0000-0000F0020000}"/>
    <cellStyle name="20% - Accent5 3 5 2 2" xfId="7926" xr:uid="{00000000-0005-0000-0000-0000F1020000}"/>
    <cellStyle name="20% - Accent5 3 5 2 2 2" xfId="16376" xr:uid="{579A652D-0DDE-4B76-93D5-22FD9C4FFACE}"/>
    <cellStyle name="20% - Accent5 3 5 2 3" xfId="12158" xr:uid="{A72BB1FC-553D-4CD7-B18A-C9BD49656D57}"/>
    <cellStyle name="20% - Accent5 3 5 3" xfId="5781" xr:uid="{00000000-0005-0000-0000-0000F2020000}"/>
    <cellStyle name="20% - Accent5 3 5 3 2" xfId="14231" xr:uid="{4240FFF6-8882-43A5-B3C7-1C7845EF6A37}"/>
    <cellStyle name="20% - Accent5 3 5 4" xfId="10013" xr:uid="{DACD38A1-987C-451A-A8E6-BB8AFA176F69}"/>
    <cellStyle name="20% - Accent5 3 6" xfId="1888" xr:uid="{00000000-0005-0000-0000-0000F3020000}"/>
    <cellStyle name="20% - Accent5 3 6 2" xfId="4117" xr:uid="{00000000-0005-0000-0000-0000F4020000}"/>
    <cellStyle name="20% - Accent5 3 6 2 2" xfId="8339" xr:uid="{00000000-0005-0000-0000-0000F5020000}"/>
    <cellStyle name="20% - Accent5 3 6 2 2 2" xfId="16789" xr:uid="{E57F6F50-180E-4222-9684-C6396EE645B2}"/>
    <cellStyle name="20% - Accent5 3 6 2 3" xfId="12571" xr:uid="{E1C5760D-1746-4F4A-8217-8EB462EACA78}"/>
    <cellStyle name="20% - Accent5 3 6 3" xfId="6194" xr:uid="{00000000-0005-0000-0000-0000F6020000}"/>
    <cellStyle name="20% - Accent5 3 6 3 2" xfId="14644" xr:uid="{A52E0754-01A8-4588-B726-325321A41167}"/>
    <cellStyle name="20% - Accent5 3 6 4" xfId="10426" xr:uid="{B02A0F03-5D49-489A-954F-07555EEC30D9}"/>
    <cellStyle name="20% - Accent5 3 7" xfId="2301" xr:uid="{00000000-0005-0000-0000-0000F7020000}"/>
    <cellStyle name="20% - Accent5 3 7 2" xfId="6607" xr:uid="{00000000-0005-0000-0000-0000F8020000}"/>
    <cellStyle name="20% - Accent5 3 7 2 2" xfId="15057" xr:uid="{B16316FF-4261-4A06-81E3-66AECE58B99F}"/>
    <cellStyle name="20% - Accent5 3 7 3" xfId="10839" xr:uid="{A0EC72FC-9163-42EC-95E4-07736DF7CBB0}"/>
    <cellStyle name="20% - Accent5 3 8" xfId="4541" xr:uid="{00000000-0005-0000-0000-0000F9020000}"/>
    <cellStyle name="20% - Accent5 3 8 2" xfId="12991" xr:uid="{5DDF2AB8-77DE-4C14-A125-F65FBABAE58C}"/>
    <cellStyle name="20% - Accent5 3 9" xfId="8773" xr:uid="{C1DEAFF0-E62D-4CB0-8C90-88D956E4F4BB}"/>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2 2 2" xfId="15552" xr:uid="{177EA3A2-926F-4459-8770-919F155A5A0C}"/>
    <cellStyle name="20% - Accent5 4 2 2 3" xfId="11334" xr:uid="{6CCADC8E-5CB8-47CA-9E9E-32A461DE3CCE}"/>
    <cellStyle name="20% - Accent5 4 2 3" xfId="4957" xr:uid="{00000000-0005-0000-0000-0000FE020000}"/>
    <cellStyle name="20% - Accent5 4 2 3 2" xfId="13407" xr:uid="{4598E74B-DD04-43EC-87FD-8045F5A447DC}"/>
    <cellStyle name="20% - Accent5 4 2 4" xfId="9189" xr:uid="{B7A14E77-7397-4A35-9A58-C476801192E8}"/>
    <cellStyle name="20% - Accent5 4 3" xfId="1062" xr:uid="{00000000-0005-0000-0000-0000FF020000}"/>
    <cellStyle name="20% - Accent5 4 3 2" xfId="3293" xr:uid="{00000000-0005-0000-0000-000000030000}"/>
    <cellStyle name="20% - Accent5 4 3 2 2" xfId="7515" xr:uid="{00000000-0005-0000-0000-000001030000}"/>
    <cellStyle name="20% - Accent5 4 3 2 2 2" xfId="15965" xr:uid="{2EBFEAE3-C10A-4284-83E0-0AEB008B913E}"/>
    <cellStyle name="20% - Accent5 4 3 2 3" xfId="11747" xr:uid="{C2084356-4424-41B4-AB09-CCD1D866E589}"/>
    <cellStyle name="20% - Accent5 4 3 3" xfId="5370" xr:uid="{00000000-0005-0000-0000-000002030000}"/>
    <cellStyle name="20% - Accent5 4 3 3 2" xfId="13820" xr:uid="{897A4C08-FCFD-49DA-88B3-2148762B3589}"/>
    <cellStyle name="20% - Accent5 4 3 4" xfId="9602" xr:uid="{AF9C525C-96AD-425F-8502-3120F7093FD5}"/>
    <cellStyle name="20% - Accent5 4 4" xfId="1476" xr:uid="{00000000-0005-0000-0000-000003030000}"/>
    <cellStyle name="20% - Accent5 4 4 2" xfId="3706" xr:uid="{00000000-0005-0000-0000-000004030000}"/>
    <cellStyle name="20% - Accent5 4 4 2 2" xfId="7928" xr:uid="{00000000-0005-0000-0000-000005030000}"/>
    <cellStyle name="20% - Accent5 4 4 2 2 2" xfId="16378" xr:uid="{9812C169-3164-4D65-8658-EBF142B28851}"/>
    <cellStyle name="20% - Accent5 4 4 2 3" xfId="12160" xr:uid="{9EC70A99-08A7-4768-8E77-444300859D40}"/>
    <cellStyle name="20% - Accent5 4 4 3" xfId="5783" xr:uid="{00000000-0005-0000-0000-000006030000}"/>
    <cellStyle name="20% - Accent5 4 4 3 2" xfId="14233" xr:uid="{E0A5345D-DC24-47FE-9A48-34A6A4208B98}"/>
    <cellStyle name="20% - Accent5 4 4 4" xfId="10015" xr:uid="{A4793806-8FC7-48E0-9B37-BC77115911C4}"/>
    <cellStyle name="20% - Accent5 4 5" xfId="1890" xr:uid="{00000000-0005-0000-0000-000007030000}"/>
    <cellStyle name="20% - Accent5 4 5 2" xfId="4119" xr:uid="{00000000-0005-0000-0000-000008030000}"/>
    <cellStyle name="20% - Accent5 4 5 2 2" xfId="8341" xr:uid="{00000000-0005-0000-0000-000009030000}"/>
    <cellStyle name="20% - Accent5 4 5 2 2 2" xfId="16791" xr:uid="{2AE03155-DCCB-4228-953E-712C5D75E2F3}"/>
    <cellStyle name="20% - Accent5 4 5 2 3" xfId="12573" xr:uid="{B7EF6EE1-DBB8-4862-AF2B-E2820BD42961}"/>
    <cellStyle name="20% - Accent5 4 5 3" xfId="6196" xr:uid="{00000000-0005-0000-0000-00000A030000}"/>
    <cellStyle name="20% - Accent5 4 5 3 2" xfId="14646" xr:uid="{C3013A30-F324-406B-A815-16BA4C2A8DD2}"/>
    <cellStyle name="20% - Accent5 4 5 4" xfId="10428" xr:uid="{3DEA3E87-7618-4338-A03C-6C40B185CB15}"/>
    <cellStyle name="20% - Accent5 4 6" xfId="2303" xr:uid="{00000000-0005-0000-0000-00000B030000}"/>
    <cellStyle name="20% - Accent5 4 6 2" xfId="6609" xr:uid="{00000000-0005-0000-0000-00000C030000}"/>
    <cellStyle name="20% - Accent5 4 6 2 2" xfId="15059" xr:uid="{50B00B89-3060-4E14-A416-416A2FC1071C}"/>
    <cellStyle name="20% - Accent5 4 6 3" xfId="10841" xr:uid="{C1CC0D69-F14D-42CB-89C6-C1CA85AAC367}"/>
    <cellStyle name="20% - Accent5 4 7" xfId="4543" xr:uid="{00000000-0005-0000-0000-00000D030000}"/>
    <cellStyle name="20% - Accent5 4 7 2" xfId="12993" xr:uid="{BBF2D015-2FA8-4F4A-A7CB-20FCA52E7F48}"/>
    <cellStyle name="20% - Accent5 4 8" xfId="8775" xr:uid="{ABDE3B47-ADC4-4555-905F-CF4F5C233DA8}"/>
    <cellStyle name="20% - Accent5 5" xfId="602" xr:uid="{00000000-0005-0000-0000-00000E030000}"/>
    <cellStyle name="20% - Accent5 5 2" xfId="2873" xr:uid="{00000000-0005-0000-0000-00000F030000}"/>
    <cellStyle name="20% - Accent5 5 2 2" xfId="7095" xr:uid="{00000000-0005-0000-0000-000010030000}"/>
    <cellStyle name="20% - Accent5 5 2 2 2" xfId="15545" xr:uid="{16CBAFB6-B9F6-4A29-A0BD-7FE8A208C896}"/>
    <cellStyle name="20% - Accent5 5 2 3" xfId="11327" xr:uid="{E1D4D045-0361-4D54-B69D-43172B7ACDDD}"/>
    <cellStyle name="20% - Accent5 5 3" xfId="4950" xr:uid="{00000000-0005-0000-0000-000011030000}"/>
    <cellStyle name="20% - Accent5 5 3 2" xfId="13400" xr:uid="{E9EE321E-405E-4947-9492-56EECDAEE3B5}"/>
    <cellStyle name="20% - Accent5 5 4" xfId="9182" xr:uid="{668B84B6-2FD9-4F38-9548-B1304FB1430A}"/>
    <cellStyle name="20% - Accent5 6" xfId="1055" xr:uid="{00000000-0005-0000-0000-000012030000}"/>
    <cellStyle name="20% - Accent5 6 2" xfId="3286" xr:uid="{00000000-0005-0000-0000-000013030000}"/>
    <cellStyle name="20% - Accent5 6 2 2" xfId="7508" xr:uid="{00000000-0005-0000-0000-000014030000}"/>
    <cellStyle name="20% - Accent5 6 2 2 2" xfId="15958" xr:uid="{828BDF61-9282-4E8A-9619-95AD3F590229}"/>
    <cellStyle name="20% - Accent5 6 2 3" xfId="11740" xr:uid="{F783E413-65FD-4EFF-BAD3-4BB1F85CFA15}"/>
    <cellStyle name="20% - Accent5 6 3" xfId="5363" xr:uid="{00000000-0005-0000-0000-000015030000}"/>
    <cellStyle name="20% - Accent5 6 3 2" xfId="13813" xr:uid="{80F4A39B-6B3F-4CC6-8FDA-262FEFC52160}"/>
    <cellStyle name="20% - Accent5 6 4" xfId="9595" xr:uid="{F686BAF4-8091-4098-8395-851E3DFDE4F6}"/>
    <cellStyle name="20% - Accent5 7" xfId="1469" xr:uid="{00000000-0005-0000-0000-000016030000}"/>
    <cellStyle name="20% - Accent5 7 2" xfId="3699" xr:uid="{00000000-0005-0000-0000-000017030000}"/>
    <cellStyle name="20% - Accent5 7 2 2" xfId="7921" xr:uid="{00000000-0005-0000-0000-000018030000}"/>
    <cellStyle name="20% - Accent5 7 2 2 2" xfId="16371" xr:uid="{E14BDFCF-47AF-401C-94B4-FD4450CA1604}"/>
    <cellStyle name="20% - Accent5 7 2 3" xfId="12153" xr:uid="{52C4724E-D2FE-42DB-AE2E-F51BBDBC3C1C}"/>
    <cellStyle name="20% - Accent5 7 3" xfId="5776" xr:uid="{00000000-0005-0000-0000-000019030000}"/>
    <cellStyle name="20% - Accent5 7 3 2" xfId="14226" xr:uid="{C743CB25-4BB3-4052-AA98-CC26252B8C36}"/>
    <cellStyle name="20% - Accent5 7 4" xfId="10008" xr:uid="{BA146A3F-61BF-4DC3-9492-CE04CFE09D86}"/>
    <cellStyle name="20% - Accent5 8" xfId="1883" xr:uid="{00000000-0005-0000-0000-00001A030000}"/>
    <cellStyle name="20% - Accent5 8 2" xfId="4112" xr:uid="{00000000-0005-0000-0000-00001B030000}"/>
    <cellStyle name="20% - Accent5 8 2 2" xfId="8334" xr:uid="{00000000-0005-0000-0000-00001C030000}"/>
    <cellStyle name="20% - Accent5 8 2 2 2" xfId="16784" xr:uid="{4F6B8C96-AD40-4814-B44B-24E922DF0DF7}"/>
    <cellStyle name="20% - Accent5 8 2 3" xfId="12566" xr:uid="{F62A930D-C69D-45ED-B2CD-38AA85E05981}"/>
    <cellStyle name="20% - Accent5 8 3" xfId="6189" xr:uid="{00000000-0005-0000-0000-00001D030000}"/>
    <cellStyle name="20% - Accent5 8 3 2" xfId="14639" xr:uid="{FACE5D7B-A86B-4CA5-9BB6-D610C1B7145B}"/>
    <cellStyle name="20% - Accent5 8 4" xfId="10421" xr:uid="{2BBCE4CE-E5D5-486F-9DD2-2528CF996BCB}"/>
    <cellStyle name="20% - Accent5 9" xfId="2296" xr:uid="{00000000-0005-0000-0000-00001E030000}"/>
    <cellStyle name="20% - Accent5 9 2" xfId="6602" xr:uid="{00000000-0005-0000-0000-00001F030000}"/>
    <cellStyle name="20% - Accent5 9 2 2" xfId="15052" xr:uid="{EFC31A9A-4760-4125-AD6E-6FEA437F1C98}"/>
    <cellStyle name="20% - Accent5 9 3" xfId="10834" xr:uid="{5E9C7D9F-144D-417E-9454-997586E15FFD}"/>
    <cellStyle name="20% - Accent6" xfId="41" builtinId="50" customBuiltin="1"/>
    <cellStyle name="20% - Accent6 10" xfId="4544" xr:uid="{00000000-0005-0000-0000-000021030000}"/>
    <cellStyle name="20% - Accent6 10 2" xfId="12994" xr:uid="{4882711D-A627-4E14-B814-3C541393CEA9}"/>
    <cellStyle name="20% - Accent6 11" xfId="8776" xr:uid="{2D631A5B-1C75-4C90-881F-E79A9F9D5AD1}"/>
    <cellStyle name="20% - Accent6 2" xfId="42" xr:uid="{00000000-0005-0000-0000-000022030000}"/>
    <cellStyle name="20% - Accent6 2 10" xfId="8777" xr:uid="{ED3EFFC7-4548-4130-A07E-60357DF4CE49}"/>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2 2 2" xfId="15556" xr:uid="{C4C70CB9-EC99-4BBB-9562-AF28EA3920AD}"/>
    <cellStyle name="20% - Accent6 2 2 2 2 2 3" xfId="11338" xr:uid="{EB9E8A73-F902-4018-BF7B-A7DA32CB5A17}"/>
    <cellStyle name="20% - Accent6 2 2 2 2 3" xfId="4961" xr:uid="{00000000-0005-0000-0000-000028030000}"/>
    <cellStyle name="20% - Accent6 2 2 2 2 3 2" xfId="13411" xr:uid="{72E09275-EA41-4AA3-A949-74D750537160}"/>
    <cellStyle name="20% - Accent6 2 2 2 2 4" xfId="9193" xr:uid="{88B615A8-3CE5-4E86-BA04-E5F5CE82277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2 2 2" xfId="15969" xr:uid="{948E680B-4D8E-4B46-9576-A212941E01EA}"/>
    <cellStyle name="20% - Accent6 2 2 2 3 2 3" xfId="11751" xr:uid="{74CB579C-FA46-4CC8-9485-A05D9202BBFE}"/>
    <cellStyle name="20% - Accent6 2 2 2 3 3" xfId="5374" xr:uid="{00000000-0005-0000-0000-00002C030000}"/>
    <cellStyle name="20% - Accent6 2 2 2 3 3 2" xfId="13824" xr:uid="{AA28B5EF-79AD-448F-8FE5-96BB7C0FB3C4}"/>
    <cellStyle name="20% - Accent6 2 2 2 3 4" xfId="9606" xr:uid="{019396AD-C7A9-492F-B29E-C429DAF9821B}"/>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2 2 2" xfId="16382" xr:uid="{035A5F57-DBC9-4263-B7CE-1109296DBD8D}"/>
    <cellStyle name="20% - Accent6 2 2 2 4 2 3" xfId="12164" xr:uid="{A11ABC49-A6CA-46E6-BD97-6ED42A33B4FD}"/>
    <cellStyle name="20% - Accent6 2 2 2 4 3" xfId="5787" xr:uid="{00000000-0005-0000-0000-000030030000}"/>
    <cellStyle name="20% - Accent6 2 2 2 4 3 2" xfId="14237" xr:uid="{0193B5C1-A0BF-4D62-BB74-AD0413D07708}"/>
    <cellStyle name="20% - Accent6 2 2 2 4 4" xfId="10019" xr:uid="{A76A853C-9A95-4606-A642-555BB5326EF3}"/>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2 2 2" xfId="16795" xr:uid="{D2CB69FE-62F3-4B82-8782-4792216597C8}"/>
    <cellStyle name="20% - Accent6 2 2 2 5 2 3" xfId="12577" xr:uid="{EEBFE38D-F83F-4EE0-A57F-2D913FDE0DA1}"/>
    <cellStyle name="20% - Accent6 2 2 2 5 3" xfId="6200" xr:uid="{00000000-0005-0000-0000-000034030000}"/>
    <cellStyle name="20% - Accent6 2 2 2 5 3 2" xfId="14650" xr:uid="{BCDD339A-B466-4D97-A733-E034FB7E6184}"/>
    <cellStyle name="20% - Accent6 2 2 2 5 4" xfId="10432" xr:uid="{13FC9F9B-EBE0-40F0-8152-22C9CA2758F5}"/>
    <cellStyle name="20% - Accent6 2 2 2 6" xfId="2307" xr:uid="{00000000-0005-0000-0000-000035030000}"/>
    <cellStyle name="20% - Accent6 2 2 2 6 2" xfId="6613" xr:uid="{00000000-0005-0000-0000-000036030000}"/>
    <cellStyle name="20% - Accent6 2 2 2 6 2 2" xfId="15063" xr:uid="{EC0E7B47-50DD-43E4-BF3F-59F54F67E946}"/>
    <cellStyle name="20% - Accent6 2 2 2 6 3" xfId="10845" xr:uid="{759B9849-A409-46E2-95B6-2A4EF1C81BB3}"/>
    <cellStyle name="20% - Accent6 2 2 2 7" xfId="4547" xr:uid="{00000000-0005-0000-0000-000037030000}"/>
    <cellStyle name="20% - Accent6 2 2 2 7 2" xfId="12997" xr:uid="{ACF910F7-70D6-43FA-9736-0DFCD314E4E0}"/>
    <cellStyle name="20% - Accent6 2 2 2 8" xfId="8779" xr:uid="{53F30A32-AEAA-42CB-BC1D-AA33474C83F0}"/>
    <cellStyle name="20% - Accent6 2 2 3" xfId="612" xr:uid="{00000000-0005-0000-0000-000038030000}"/>
    <cellStyle name="20% - Accent6 2 2 3 2" xfId="2883" xr:uid="{00000000-0005-0000-0000-000039030000}"/>
    <cellStyle name="20% - Accent6 2 2 3 2 2" xfId="7105" xr:uid="{00000000-0005-0000-0000-00003A030000}"/>
    <cellStyle name="20% - Accent6 2 2 3 2 2 2" xfId="15555" xr:uid="{F0C36B50-F617-4FAA-A8E6-8FAD0D10D283}"/>
    <cellStyle name="20% - Accent6 2 2 3 2 3" xfId="11337" xr:uid="{4575FCE7-5E35-4544-BC28-42AF70345E27}"/>
    <cellStyle name="20% - Accent6 2 2 3 3" xfId="4960" xr:uid="{00000000-0005-0000-0000-00003B030000}"/>
    <cellStyle name="20% - Accent6 2 2 3 3 2" xfId="13410" xr:uid="{9CC8CE7C-E1B7-4B79-BA65-49F0397DFB05}"/>
    <cellStyle name="20% - Accent6 2 2 3 4" xfId="9192" xr:uid="{551406F9-8F6D-43D4-8B95-568A4B4BFB4A}"/>
    <cellStyle name="20% - Accent6 2 2 4" xfId="1065" xr:uid="{00000000-0005-0000-0000-00003C030000}"/>
    <cellStyle name="20% - Accent6 2 2 4 2" xfId="3296" xr:uid="{00000000-0005-0000-0000-00003D030000}"/>
    <cellStyle name="20% - Accent6 2 2 4 2 2" xfId="7518" xr:uid="{00000000-0005-0000-0000-00003E030000}"/>
    <cellStyle name="20% - Accent6 2 2 4 2 2 2" xfId="15968" xr:uid="{2348A889-3FB2-4056-AA46-42C6D23CE2FF}"/>
    <cellStyle name="20% - Accent6 2 2 4 2 3" xfId="11750" xr:uid="{FA6F7276-5D04-4AB2-A040-3EDC019A3F11}"/>
    <cellStyle name="20% - Accent6 2 2 4 3" xfId="5373" xr:uid="{00000000-0005-0000-0000-00003F030000}"/>
    <cellStyle name="20% - Accent6 2 2 4 3 2" xfId="13823" xr:uid="{DD26D10B-E0B6-4D5E-AB11-C1A783D7A4B0}"/>
    <cellStyle name="20% - Accent6 2 2 4 4" xfId="9605" xr:uid="{012C331D-0E49-438E-A3FC-780112748844}"/>
    <cellStyle name="20% - Accent6 2 2 5" xfId="1479" xr:uid="{00000000-0005-0000-0000-000040030000}"/>
    <cellStyle name="20% - Accent6 2 2 5 2" xfId="3709" xr:uid="{00000000-0005-0000-0000-000041030000}"/>
    <cellStyle name="20% - Accent6 2 2 5 2 2" xfId="7931" xr:uid="{00000000-0005-0000-0000-000042030000}"/>
    <cellStyle name="20% - Accent6 2 2 5 2 2 2" xfId="16381" xr:uid="{FD3FFFC3-7F88-44D2-A8EA-D2426708B64F}"/>
    <cellStyle name="20% - Accent6 2 2 5 2 3" xfId="12163" xr:uid="{D380E44A-E14D-459F-8084-98A3D0BE1B1A}"/>
    <cellStyle name="20% - Accent6 2 2 5 3" xfId="5786" xr:uid="{00000000-0005-0000-0000-000043030000}"/>
    <cellStyle name="20% - Accent6 2 2 5 3 2" xfId="14236" xr:uid="{CB8004FE-7F82-4681-A09F-1B2D96515B03}"/>
    <cellStyle name="20% - Accent6 2 2 5 4" xfId="10018" xr:uid="{91828C52-58B6-4292-ACA4-67A7D3A78CE9}"/>
    <cellStyle name="20% - Accent6 2 2 6" xfId="1893" xr:uid="{00000000-0005-0000-0000-000044030000}"/>
    <cellStyle name="20% - Accent6 2 2 6 2" xfId="4122" xr:uid="{00000000-0005-0000-0000-000045030000}"/>
    <cellStyle name="20% - Accent6 2 2 6 2 2" xfId="8344" xr:uid="{00000000-0005-0000-0000-000046030000}"/>
    <cellStyle name="20% - Accent6 2 2 6 2 2 2" xfId="16794" xr:uid="{A0D63A4D-CFA1-434B-9397-F183FEB64911}"/>
    <cellStyle name="20% - Accent6 2 2 6 2 3" xfId="12576" xr:uid="{EDF9AD03-6D65-4710-B95F-538FACBF949F}"/>
    <cellStyle name="20% - Accent6 2 2 6 3" xfId="6199" xr:uid="{00000000-0005-0000-0000-000047030000}"/>
    <cellStyle name="20% - Accent6 2 2 6 3 2" xfId="14649" xr:uid="{4EDF38A3-B772-42DE-8C53-1C01EC15BFDD}"/>
    <cellStyle name="20% - Accent6 2 2 6 4" xfId="10431" xr:uid="{E67A55E9-A3C1-4F2F-A621-A5B415FC3FD2}"/>
    <cellStyle name="20% - Accent6 2 2 7" xfId="2306" xr:uid="{00000000-0005-0000-0000-000048030000}"/>
    <cellStyle name="20% - Accent6 2 2 7 2" xfId="6612" xr:uid="{00000000-0005-0000-0000-000049030000}"/>
    <cellStyle name="20% - Accent6 2 2 7 2 2" xfId="15062" xr:uid="{3132C46D-7C6B-4700-9A46-5EADBA857AD4}"/>
    <cellStyle name="20% - Accent6 2 2 7 3" xfId="10844" xr:uid="{A20B6AD5-0D9A-4A5A-B8AF-9CF0EE0F8043}"/>
    <cellStyle name="20% - Accent6 2 2 8" xfId="4546" xr:uid="{00000000-0005-0000-0000-00004A030000}"/>
    <cellStyle name="20% - Accent6 2 2 8 2" xfId="12996" xr:uid="{8F5C3F59-604D-439E-8EBA-62ABCC36C160}"/>
    <cellStyle name="20% - Accent6 2 2 9" xfId="8778" xr:uid="{1FEA8B98-705A-4E1E-B1C9-73FF17529D27}"/>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2 2 2" xfId="15557" xr:uid="{41A4B612-B61D-4235-AC13-C2BED2793113}"/>
    <cellStyle name="20% - Accent6 2 3 2 2 3" xfId="11339" xr:uid="{2419B003-66EC-4823-9B25-9C319B4A1AA5}"/>
    <cellStyle name="20% - Accent6 2 3 2 3" xfId="4962" xr:uid="{00000000-0005-0000-0000-00004F030000}"/>
    <cellStyle name="20% - Accent6 2 3 2 3 2" xfId="13412" xr:uid="{FC0FC03C-1151-44CA-AEF8-5EEADBA8F412}"/>
    <cellStyle name="20% - Accent6 2 3 2 4" xfId="9194" xr:uid="{A0936C60-346F-4AF0-B536-7DC99ED4BA38}"/>
    <cellStyle name="20% - Accent6 2 3 3" xfId="1067" xr:uid="{00000000-0005-0000-0000-000050030000}"/>
    <cellStyle name="20% - Accent6 2 3 3 2" xfId="3298" xr:uid="{00000000-0005-0000-0000-000051030000}"/>
    <cellStyle name="20% - Accent6 2 3 3 2 2" xfId="7520" xr:uid="{00000000-0005-0000-0000-000052030000}"/>
    <cellStyle name="20% - Accent6 2 3 3 2 2 2" xfId="15970" xr:uid="{F05AB2B0-940E-44EB-BD5A-A9275A03A805}"/>
    <cellStyle name="20% - Accent6 2 3 3 2 3" xfId="11752" xr:uid="{BA0AE435-FD53-480A-9D0A-12C7E60FAC9E}"/>
    <cellStyle name="20% - Accent6 2 3 3 3" xfId="5375" xr:uid="{00000000-0005-0000-0000-000053030000}"/>
    <cellStyle name="20% - Accent6 2 3 3 3 2" xfId="13825" xr:uid="{0BA9D042-858A-4010-95C8-D1C1682C0015}"/>
    <cellStyle name="20% - Accent6 2 3 3 4" xfId="9607" xr:uid="{A196D7AD-220F-4467-8930-274906774E91}"/>
    <cellStyle name="20% - Accent6 2 3 4" xfId="1481" xr:uid="{00000000-0005-0000-0000-000054030000}"/>
    <cellStyle name="20% - Accent6 2 3 4 2" xfId="3711" xr:uid="{00000000-0005-0000-0000-000055030000}"/>
    <cellStyle name="20% - Accent6 2 3 4 2 2" xfId="7933" xr:uid="{00000000-0005-0000-0000-000056030000}"/>
    <cellStyle name="20% - Accent6 2 3 4 2 2 2" xfId="16383" xr:uid="{97DA66C3-07F1-4A90-93E2-0CCCAB090305}"/>
    <cellStyle name="20% - Accent6 2 3 4 2 3" xfId="12165" xr:uid="{F9E5A6BE-D365-48AC-ABDA-B263FEA0F205}"/>
    <cellStyle name="20% - Accent6 2 3 4 3" xfId="5788" xr:uid="{00000000-0005-0000-0000-000057030000}"/>
    <cellStyle name="20% - Accent6 2 3 4 3 2" xfId="14238" xr:uid="{3B93DCD3-3157-403F-B241-4F0A9F69E070}"/>
    <cellStyle name="20% - Accent6 2 3 4 4" xfId="10020" xr:uid="{17CAD01B-086B-42A8-899B-EFDDB21197F2}"/>
    <cellStyle name="20% - Accent6 2 3 5" xfId="1895" xr:uid="{00000000-0005-0000-0000-000058030000}"/>
    <cellStyle name="20% - Accent6 2 3 5 2" xfId="4124" xr:uid="{00000000-0005-0000-0000-000059030000}"/>
    <cellStyle name="20% - Accent6 2 3 5 2 2" xfId="8346" xr:uid="{00000000-0005-0000-0000-00005A030000}"/>
    <cellStyle name="20% - Accent6 2 3 5 2 2 2" xfId="16796" xr:uid="{61625518-8F08-45F8-AC01-FE26CEC2607A}"/>
    <cellStyle name="20% - Accent6 2 3 5 2 3" xfId="12578" xr:uid="{BC4D6755-DF3D-4AE1-946A-BC5BB7097D32}"/>
    <cellStyle name="20% - Accent6 2 3 5 3" xfId="6201" xr:uid="{00000000-0005-0000-0000-00005B030000}"/>
    <cellStyle name="20% - Accent6 2 3 5 3 2" xfId="14651" xr:uid="{D2499FD2-8E62-461D-A2B3-E70D3FE63765}"/>
    <cellStyle name="20% - Accent6 2 3 5 4" xfId="10433" xr:uid="{F0334D7C-E747-4056-B473-DE5C8D88F4A0}"/>
    <cellStyle name="20% - Accent6 2 3 6" xfId="2308" xr:uid="{00000000-0005-0000-0000-00005C030000}"/>
    <cellStyle name="20% - Accent6 2 3 6 2" xfId="6614" xr:uid="{00000000-0005-0000-0000-00005D030000}"/>
    <cellStyle name="20% - Accent6 2 3 6 2 2" xfId="15064" xr:uid="{3D797CC8-DD0B-468F-B4B9-EBA5C2F5271F}"/>
    <cellStyle name="20% - Accent6 2 3 6 3" xfId="10846" xr:uid="{65CAA900-D159-4B42-9A9C-7FE72E59ED5B}"/>
    <cellStyle name="20% - Accent6 2 3 7" xfId="4548" xr:uid="{00000000-0005-0000-0000-00005E030000}"/>
    <cellStyle name="20% - Accent6 2 3 7 2" xfId="12998" xr:uid="{4B49BCE6-1D96-4F87-AA66-FE5688001EA8}"/>
    <cellStyle name="20% - Accent6 2 3 8" xfId="8780" xr:uid="{3424412D-087B-4581-8693-D098693A471B}"/>
    <cellStyle name="20% - Accent6 2 4" xfId="611" xr:uid="{00000000-0005-0000-0000-00005F030000}"/>
    <cellStyle name="20% - Accent6 2 4 2" xfId="2882" xr:uid="{00000000-0005-0000-0000-000060030000}"/>
    <cellStyle name="20% - Accent6 2 4 2 2" xfId="7104" xr:uid="{00000000-0005-0000-0000-000061030000}"/>
    <cellStyle name="20% - Accent6 2 4 2 2 2" xfId="15554" xr:uid="{C8D01887-E8BD-4B4F-B44A-5396F5A9311D}"/>
    <cellStyle name="20% - Accent6 2 4 2 3" xfId="11336" xr:uid="{0C7B5624-2DF1-4008-A096-CAB001A92ED2}"/>
    <cellStyle name="20% - Accent6 2 4 3" xfId="4959" xr:uid="{00000000-0005-0000-0000-000062030000}"/>
    <cellStyle name="20% - Accent6 2 4 3 2" xfId="13409" xr:uid="{D0731840-320B-4357-968E-093F12B0DA6F}"/>
    <cellStyle name="20% - Accent6 2 4 4" xfId="9191" xr:uid="{7B9DFA96-7BD4-4D61-BEC5-9FEC0802BE34}"/>
    <cellStyle name="20% - Accent6 2 5" xfId="1064" xr:uid="{00000000-0005-0000-0000-000063030000}"/>
    <cellStyle name="20% - Accent6 2 5 2" xfId="3295" xr:uid="{00000000-0005-0000-0000-000064030000}"/>
    <cellStyle name="20% - Accent6 2 5 2 2" xfId="7517" xr:uid="{00000000-0005-0000-0000-000065030000}"/>
    <cellStyle name="20% - Accent6 2 5 2 2 2" xfId="15967" xr:uid="{F4F65264-4FA2-4B17-A734-62C8AD3C6BCC}"/>
    <cellStyle name="20% - Accent6 2 5 2 3" xfId="11749" xr:uid="{378696FA-2507-486D-BC3F-6DC7D194CC90}"/>
    <cellStyle name="20% - Accent6 2 5 3" xfId="5372" xr:uid="{00000000-0005-0000-0000-000066030000}"/>
    <cellStyle name="20% - Accent6 2 5 3 2" xfId="13822" xr:uid="{2EB59A39-EBF5-475D-94C2-82AC741EF410}"/>
    <cellStyle name="20% - Accent6 2 5 4" xfId="9604" xr:uid="{0EDC20B9-38F0-48E7-94EC-92454BD61E26}"/>
    <cellStyle name="20% - Accent6 2 6" xfId="1478" xr:uid="{00000000-0005-0000-0000-000067030000}"/>
    <cellStyle name="20% - Accent6 2 6 2" xfId="3708" xr:uid="{00000000-0005-0000-0000-000068030000}"/>
    <cellStyle name="20% - Accent6 2 6 2 2" xfId="7930" xr:uid="{00000000-0005-0000-0000-000069030000}"/>
    <cellStyle name="20% - Accent6 2 6 2 2 2" xfId="16380" xr:uid="{3B616700-98FD-4AA0-B906-D48D01ABB30B}"/>
    <cellStyle name="20% - Accent6 2 6 2 3" xfId="12162" xr:uid="{9625FC68-B7F8-4B30-916E-0BC74B1A3B5F}"/>
    <cellStyle name="20% - Accent6 2 6 3" xfId="5785" xr:uid="{00000000-0005-0000-0000-00006A030000}"/>
    <cellStyle name="20% - Accent6 2 6 3 2" xfId="14235" xr:uid="{EAD25CE2-918C-45DA-A0B1-C00FD523313E}"/>
    <cellStyle name="20% - Accent6 2 6 4" xfId="10017" xr:uid="{A669CF3C-A5EA-4CFD-98D0-9AD910C75218}"/>
    <cellStyle name="20% - Accent6 2 7" xfId="1892" xr:uid="{00000000-0005-0000-0000-00006B030000}"/>
    <cellStyle name="20% - Accent6 2 7 2" xfId="4121" xr:uid="{00000000-0005-0000-0000-00006C030000}"/>
    <cellStyle name="20% - Accent6 2 7 2 2" xfId="8343" xr:uid="{00000000-0005-0000-0000-00006D030000}"/>
    <cellStyle name="20% - Accent6 2 7 2 2 2" xfId="16793" xr:uid="{627FCED4-D106-4426-8F0D-4E52680345CF}"/>
    <cellStyle name="20% - Accent6 2 7 2 3" xfId="12575" xr:uid="{F35C3287-5295-4F92-AC4D-19847BC36F9F}"/>
    <cellStyle name="20% - Accent6 2 7 3" xfId="6198" xr:uid="{00000000-0005-0000-0000-00006E030000}"/>
    <cellStyle name="20% - Accent6 2 7 3 2" xfId="14648" xr:uid="{033B848C-9048-4C6F-A152-35328A3F76B0}"/>
    <cellStyle name="20% - Accent6 2 7 4" xfId="10430" xr:uid="{F010EE25-05F4-4154-9B92-F705EE4E7A6A}"/>
    <cellStyle name="20% - Accent6 2 8" xfId="2305" xr:uid="{00000000-0005-0000-0000-00006F030000}"/>
    <cellStyle name="20% - Accent6 2 8 2" xfId="6611" xr:uid="{00000000-0005-0000-0000-000070030000}"/>
    <cellStyle name="20% - Accent6 2 8 2 2" xfId="15061" xr:uid="{A73EC528-EE7D-45DF-8681-0A3F31020A7B}"/>
    <cellStyle name="20% - Accent6 2 8 3" xfId="10843" xr:uid="{FADCA818-6269-4D88-8F6E-7CBFB54165B6}"/>
    <cellStyle name="20% - Accent6 2 9" xfId="4545" xr:uid="{00000000-0005-0000-0000-000071030000}"/>
    <cellStyle name="20% - Accent6 2 9 2" xfId="12995" xr:uid="{CE83C1BE-DCD0-4CBB-92B9-E302C6090DBC}"/>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2 2 2" xfId="15559" xr:uid="{AED9F4C8-9291-4B0C-8502-41396EB03E8E}"/>
    <cellStyle name="20% - Accent6 3 2 2 2 3" xfId="11341" xr:uid="{0EBEDCE5-526C-4CF9-A033-EE90934E8720}"/>
    <cellStyle name="20% - Accent6 3 2 2 3" xfId="4964" xr:uid="{00000000-0005-0000-0000-000077030000}"/>
    <cellStyle name="20% - Accent6 3 2 2 3 2" xfId="13414" xr:uid="{F5D7499E-4D87-457A-8ED7-19F07E86D420}"/>
    <cellStyle name="20% - Accent6 3 2 2 4" xfId="9196" xr:uid="{D3111EB5-E830-4194-8F9E-7DD00FD93352}"/>
    <cellStyle name="20% - Accent6 3 2 3" xfId="1069" xr:uid="{00000000-0005-0000-0000-000078030000}"/>
    <cellStyle name="20% - Accent6 3 2 3 2" xfId="3300" xr:uid="{00000000-0005-0000-0000-000079030000}"/>
    <cellStyle name="20% - Accent6 3 2 3 2 2" xfId="7522" xr:uid="{00000000-0005-0000-0000-00007A030000}"/>
    <cellStyle name="20% - Accent6 3 2 3 2 2 2" xfId="15972" xr:uid="{583E0FD8-ABDE-4115-AE51-E2C2D45E8A13}"/>
    <cellStyle name="20% - Accent6 3 2 3 2 3" xfId="11754" xr:uid="{707B114A-25AB-4E85-B2BA-3B0A72CED9BB}"/>
    <cellStyle name="20% - Accent6 3 2 3 3" xfId="5377" xr:uid="{00000000-0005-0000-0000-00007B030000}"/>
    <cellStyle name="20% - Accent6 3 2 3 3 2" xfId="13827" xr:uid="{CC8FD2C9-074C-45D5-A9E7-F2E55D52064A}"/>
    <cellStyle name="20% - Accent6 3 2 3 4" xfId="9609" xr:uid="{27B73DA3-F8D9-461F-A3C4-BF33F0DEAEA3}"/>
    <cellStyle name="20% - Accent6 3 2 4" xfId="1483" xr:uid="{00000000-0005-0000-0000-00007C030000}"/>
    <cellStyle name="20% - Accent6 3 2 4 2" xfId="3713" xr:uid="{00000000-0005-0000-0000-00007D030000}"/>
    <cellStyle name="20% - Accent6 3 2 4 2 2" xfId="7935" xr:uid="{00000000-0005-0000-0000-00007E030000}"/>
    <cellStyle name="20% - Accent6 3 2 4 2 2 2" xfId="16385" xr:uid="{DB4189A3-876C-4857-BD8F-36941201B346}"/>
    <cellStyle name="20% - Accent6 3 2 4 2 3" xfId="12167" xr:uid="{CEA69BA1-33DA-4D9C-80A8-B992A160B977}"/>
    <cellStyle name="20% - Accent6 3 2 4 3" xfId="5790" xr:uid="{00000000-0005-0000-0000-00007F030000}"/>
    <cellStyle name="20% - Accent6 3 2 4 3 2" xfId="14240" xr:uid="{1D841CAC-91BB-4514-855F-59ACC4E2C368}"/>
    <cellStyle name="20% - Accent6 3 2 4 4" xfId="10022" xr:uid="{03657BCE-CE61-49A1-B820-7F287AC7481F}"/>
    <cellStyle name="20% - Accent6 3 2 5" xfId="1897" xr:uid="{00000000-0005-0000-0000-000080030000}"/>
    <cellStyle name="20% - Accent6 3 2 5 2" xfId="4126" xr:uid="{00000000-0005-0000-0000-000081030000}"/>
    <cellStyle name="20% - Accent6 3 2 5 2 2" xfId="8348" xr:uid="{00000000-0005-0000-0000-000082030000}"/>
    <cellStyle name="20% - Accent6 3 2 5 2 2 2" xfId="16798" xr:uid="{87938F4C-FB8C-4C94-80EC-5B29E4DD8E01}"/>
    <cellStyle name="20% - Accent6 3 2 5 2 3" xfId="12580" xr:uid="{93FDB06F-B624-4474-BFFD-94ADFAF10671}"/>
    <cellStyle name="20% - Accent6 3 2 5 3" xfId="6203" xr:uid="{00000000-0005-0000-0000-000083030000}"/>
    <cellStyle name="20% - Accent6 3 2 5 3 2" xfId="14653" xr:uid="{FFAE3A21-227B-479B-8337-D751DE88DEA0}"/>
    <cellStyle name="20% - Accent6 3 2 5 4" xfId="10435" xr:uid="{FE182D83-B0E1-4F93-A486-36D6E8109B77}"/>
    <cellStyle name="20% - Accent6 3 2 6" xfId="2310" xr:uid="{00000000-0005-0000-0000-000084030000}"/>
    <cellStyle name="20% - Accent6 3 2 6 2" xfId="6616" xr:uid="{00000000-0005-0000-0000-000085030000}"/>
    <cellStyle name="20% - Accent6 3 2 6 2 2" xfId="15066" xr:uid="{288F2492-7CA3-45E2-AE90-949AE8B37FE6}"/>
    <cellStyle name="20% - Accent6 3 2 6 3" xfId="10848" xr:uid="{6A57DF6E-08AC-4FCA-BE29-1642025CB559}"/>
    <cellStyle name="20% - Accent6 3 2 7" xfId="4550" xr:uid="{00000000-0005-0000-0000-000086030000}"/>
    <cellStyle name="20% - Accent6 3 2 7 2" xfId="13000" xr:uid="{6F746FB3-CE68-4451-8FA6-74E40B2A3CDC}"/>
    <cellStyle name="20% - Accent6 3 2 8" xfId="8782" xr:uid="{A2F685CC-DDB0-4508-B54B-5B839116F7CD}"/>
    <cellStyle name="20% - Accent6 3 3" xfId="615" xr:uid="{00000000-0005-0000-0000-000087030000}"/>
    <cellStyle name="20% - Accent6 3 3 2" xfId="2886" xr:uid="{00000000-0005-0000-0000-000088030000}"/>
    <cellStyle name="20% - Accent6 3 3 2 2" xfId="7108" xr:uid="{00000000-0005-0000-0000-000089030000}"/>
    <cellStyle name="20% - Accent6 3 3 2 2 2" xfId="15558" xr:uid="{D69FAA71-2819-4991-B2DC-147DCDAA58F6}"/>
    <cellStyle name="20% - Accent6 3 3 2 3" xfId="11340" xr:uid="{82450F1C-B179-4C89-892B-0E655DE740FA}"/>
    <cellStyle name="20% - Accent6 3 3 3" xfId="4963" xr:uid="{00000000-0005-0000-0000-00008A030000}"/>
    <cellStyle name="20% - Accent6 3 3 3 2" xfId="13413" xr:uid="{A47DC532-A03F-413D-8A74-2F5073A17CD3}"/>
    <cellStyle name="20% - Accent6 3 3 4" xfId="9195" xr:uid="{D54694B1-BF23-45D3-AEAB-5FBF02BF5D50}"/>
    <cellStyle name="20% - Accent6 3 4" xfId="1068" xr:uid="{00000000-0005-0000-0000-00008B030000}"/>
    <cellStyle name="20% - Accent6 3 4 2" xfId="3299" xr:uid="{00000000-0005-0000-0000-00008C030000}"/>
    <cellStyle name="20% - Accent6 3 4 2 2" xfId="7521" xr:uid="{00000000-0005-0000-0000-00008D030000}"/>
    <cellStyle name="20% - Accent6 3 4 2 2 2" xfId="15971" xr:uid="{361ED28C-2A50-4DBC-A1A6-868C6A367496}"/>
    <cellStyle name="20% - Accent6 3 4 2 3" xfId="11753" xr:uid="{0F4AB653-F913-4E7F-9A35-CB741E7E44F6}"/>
    <cellStyle name="20% - Accent6 3 4 3" xfId="5376" xr:uid="{00000000-0005-0000-0000-00008E030000}"/>
    <cellStyle name="20% - Accent6 3 4 3 2" xfId="13826" xr:uid="{7E3D3278-7F34-4022-AFB6-56B89F61BE3C}"/>
    <cellStyle name="20% - Accent6 3 4 4" xfId="9608" xr:uid="{C51872D0-670D-4133-A272-9720EBB9290D}"/>
    <cellStyle name="20% - Accent6 3 5" xfId="1482" xr:uid="{00000000-0005-0000-0000-00008F030000}"/>
    <cellStyle name="20% - Accent6 3 5 2" xfId="3712" xr:uid="{00000000-0005-0000-0000-000090030000}"/>
    <cellStyle name="20% - Accent6 3 5 2 2" xfId="7934" xr:uid="{00000000-0005-0000-0000-000091030000}"/>
    <cellStyle name="20% - Accent6 3 5 2 2 2" xfId="16384" xr:uid="{B00E7A34-2D34-4993-810A-2D561CE05C5E}"/>
    <cellStyle name="20% - Accent6 3 5 2 3" xfId="12166" xr:uid="{BF134DE9-039A-4607-A033-E95BC805890B}"/>
    <cellStyle name="20% - Accent6 3 5 3" xfId="5789" xr:uid="{00000000-0005-0000-0000-000092030000}"/>
    <cellStyle name="20% - Accent6 3 5 3 2" xfId="14239" xr:uid="{6DE88714-A455-497B-8EA8-32C5E63AC34C}"/>
    <cellStyle name="20% - Accent6 3 5 4" xfId="10021" xr:uid="{5FC2273F-4E5B-46A1-AB8D-1DE4E41B5F8E}"/>
    <cellStyle name="20% - Accent6 3 6" xfId="1896" xr:uid="{00000000-0005-0000-0000-000093030000}"/>
    <cellStyle name="20% - Accent6 3 6 2" xfId="4125" xr:uid="{00000000-0005-0000-0000-000094030000}"/>
    <cellStyle name="20% - Accent6 3 6 2 2" xfId="8347" xr:uid="{00000000-0005-0000-0000-000095030000}"/>
    <cellStyle name="20% - Accent6 3 6 2 2 2" xfId="16797" xr:uid="{6DF65E13-A7F8-4514-B71A-AC9422BF46F9}"/>
    <cellStyle name="20% - Accent6 3 6 2 3" xfId="12579" xr:uid="{5F23EF93-C6A9-4934-B4E7-3B8D95C6B0D6}"/>
    <cellStyle name="20% - Accent6 3 6 3" xfId="6202" xr:uid="{00000000-0005-0000-0000-000096030000}"/>
    <cellStyle name="20% - Accent6 3 6 3 2" xfId="14652" xr:uid="{BD605071-DD27-4258-9271-C7E85AF592A8}"/>
    <cellStyle name="20% - Accent6 3 6 4" xfId="10434" xr:uid="{64320963-0D4B-4583-A79D-8DF7A72EC386}"/>
    <cellStyle name="20% - Accent6 3 7" xfId="2309" xr:uid="{00000000-0005-0000-0000-000097030000}"/>
    <cellStyle name="20% - Accent6 3 7 2" xfId="6615" xr:uid="{00000000-0005-0000-0000-000098030000}"/>
    <cellStyle name="20% - Accent6 3 7 2 2" xfId="15065" xr:uid="{DA80A7E5-3E8A-4ED2-AF0B-E3E3718889D9}"/>
    <cellStyle name="20% - Accent6 3 7 3" xfId="10847" xr:uid="{4F0C7243-0A84-4412-8B79-F2B2751215BD}"/>
    <cellStyle name="20% - Accent6 3 8" xfId="4549" xr:uid="{00000000-0005-0000-0000-000099030000}"/>
    <cellStyle name="20% - Accent6 3 8 2" xfId="12999" xr:uid="{55338004-BBE6-424C-9307-B60416E2FBE6}"/>
    <cellStyle name="20% - Accent6 3 9" xfId="8781" xr:uid="{A54FD203-582E-479D-B880-D093C1B0D0FB}"/>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2 2 2" xfId="15560" xr:uid="{6B866CD2-74B0-426B-B240-BA6A4A613366}"/>
    <cellStyle name="20% - Accent6 4 2 2 3" xfId="11342" xr:uid="{A9E10C6E-4DBA-46A6-9065-A85FD2C085FD}"/>
    <cellStyle name="20% - Accent6 4 2 3" xfId="4965" xr:uid="{00000000-0005-0000-0000-00009E030000}"/>
    <cellStyle name="20% - Accent6 4 2 3 2" xfId="13415" xr:uid="{D6BF3B22-D9AE-481B-8050-412103AE9A32}"/>
    <cellStyle name="20% - Accent6 4 2 4" xfId="9197" xr:uid="{0741D070-A7FB-47F8-B7B7-953B21775C06}"/>
    <cellStyle name="20% - Accent6 4 3" xfId="1070" xr:uid="{00000000-0005-0000-0000-00009F030000}"/>
    <cellStyle name="20% - Accent6 4 3 2" xfId="3301" xr:uid="{00000000-0005-0000-0000-0000A0030000}"/>
    <cellStyle name="20% - Accent6 4 3 2 2" xfId="7523" xr:uid="{00000000-0005-0000-0000-0000A1030000}"/>
    <cellStyle name="20% - Accent6 4 3 2 2 2" xfId="15973" xr:uid="{01D4C903-4DE4-4AA0-A20F-19EA56F6BF9F}"/>
    <cellStyle name="20% - Accent6 4 3 2 3" xfId="11755" xr:uid="{E53F816D-D4BF-4278-A927-0F6CFBCA6C1B}"/>
    <cellStyle name="20% - Accent6 4 3 3" xfId="5378" xr:uid="{00000000-0005-0000-0000-0000A2030000}"/>
    <cellStyle name="20% - Accent6 4 3 3 2" xfId="13828" xr:uid="{C3FAE1C0-2C5D-49EF-B7AF-E5A8F32228A1}"/>
    <cellStyle name="20% - Accent6 4 3 4" xfId="9610" xr:uid="{D2E22B86-C956-446E-AC8C-5E6FF067A308}"/>
    <cellStyle name="20% - Accent6 4 4" xfId="1484" xr:uid="{00000000-0005-0000-0000-0000A3030000}"/>
    <cellStyle name="20% - Accent6 4 4 2" xfId="3714" xr:uid="{00000000-0005-0000-0000-0000A4030000}"/>
    <cellStyle name="20% - Accent6 4 4 2 2" xfId="7936" xr:uid="{00000000-0005-0000-0000-0000A5030000}"/>
    <cellStyle name="20% - Accent6 4 4 2 2 2" xfId="16386" xr:uid="{2C6739D9-5F10-4E98-8B1B-013C058D1D11}"/>
    <cellStyle name="20% - Accent6 4 4 2 3" xfId="12168" xr:uid="{2C6A834A-BD6B-46D0-8B58-102D1F35FA7D}"/>
    <cellStyle name="20% - Accent6 4 4 3" xfId="5791" xr:uid="{00000000-0005-0000-0000-0000A6030000}"/>
    <cellStyle name="20% - Accent6 4 4 3 2" xfId="14241" xr:uid="{3AE787CB-5041-442E-A853-22C37ED6C1D7}"/>
    <cellStyle name="20% - Accent6 4 4 4" xfId="10023" xr:uid="{DDA39D36-9106-43D3-A138-38D1251CF9BA}"/>
    <cellStyle name="20% - Accent6 4 5" xfId="1898" xr:uid="{00000000-0005-0000-0000-0000A7030000}"/>
    <cellStyle name="20% - Accent6 4 5 2" xfId="4127" xr:uid="{00000000-0005-0000-0000-0000A8030000}"/>
    <cellStyle name="20% - Accent6 4 5 2 2" xfId="8349" xr:uid="{00000000-0005-0000-0000-0000A9030000}"/>
    <cellStyle name="20% - Accent6 4 5 2 2 2" xfId="16799" xr:uid="{3D1793F9-22C4-4C64-AE62-09A58C0CC78B}"/>
    <cellStyle name="20% - Accent6 4 5 2 3" xfId="12581" xr:uid="{DDE7C593-007A-4B99-97C6-9FD4A5E8D751}"/>
    <cellStyle name="20% - Accent6 4 5 3" xfId="6204" xr:uid="{00000000-0005-0000-0000-0000AA030000}"/>
    <cellStyle name="20% - Accent6 4 5 3 2" xfId="14654" xr:uid="{8E6336E0-15B6-4FC4-8961-9E232D83BA00}"/>
    <cellStyle name="20% - Accent6 4 5 4" xfId="10436" xr:uid="{BB75EA91-F269-4391-BD73-2C326EB7207A}"/>
    <cellStyle name="20% - Accent6 4 6" xfId="2311" xr:uid="{00000000-0005-0000-0000-0000AB030000}"/>
    <cellStyle name="20% - Accent6 4 6 2" xfId="6617" xr:uid="{00000000-0005-0000-0000-0000AC030000}"/>
    <cellStyle name="20% - Accent6 4 6 2 2" xfId="15067" xr:uid="{22CFC3FF-218C-48B0-B112-96A05BCBCDD9}"/>
    <cellStyle name="20% - Accent6 4 6 3" xfId="10849" xr:uid="{898475D6-1C47-4E48-9B03-0368477B7919}"/>
    <cellStyle name="20% - Accent6 4 7" xfId="4551" xr:uid="{00000000-0005-0000-0000-0000AD030000}"/>
    <cellStyle name="20% - Accent6 4 7 2" xfId="13001" xr:uid="{5FB89292-143A-4175-9D48-7794332C07A9}"/>
    <cellStyle name="20% - Accent6 4 8" xfId="8783" xr:uid="{F2BB59FF-5E3A-463C-8B7B-E16DCFCCBC0B}"/>
    <cellStyle name="20% - Accent6 5" xfId="610" xr:uid="{00000000-0005-0000-0000-0000AE030000}"/>
    <cellStyle name="20% - Accent6 5 2" xfId="2881" xr:uid="{00000000-0005-0000-0000-0000AF030000}"/>
    <cellStyle name="20% - Accent6 5 2 2" xfId="7103" xr:uid="{00000000-0005-0000-0000-0000B0030000}"/>
    <cellStyle name="20% - Accent6 5 2 2 2" xfId="15553" xr:uid="{FE1B4C1F-B8B4-42F3-AAD0-7AD25A7E2C8C}"/>
    <cellStyle name="20% - Accent6 5 2 3" xfId="11335" xr:uid="{61B02705-7D59-4F0F-B338-A87D0860AFA7}"/>
    <cellStyle name="20% - Accent6 5 3" xfId="4958" xr:uid="{00000000-0005-0000-0000-0000B1030000}"/>
    <cellStyle name="20% - Accent6 5 3 2" xfId="13408" xr:uid="{27268D49-2E34-4A72-B9AD-BA6BF0E66F09}"/>
    <cellStyle name="20% - Accent6 5 4" xfId="9190" xr:uid="{489DDC4F-E871-48D8-A671-FBEEC8972DD4}"/>
    <cellStyle name="20% - Accent6 6" xfId="1063" xr:uid="{00000000-0005-0000-0000-0000B2030000}"/>
    <cellStyle name="20% - Accent6 6 2" xfId="3294" xr:uid="{00000000-0005-0000-0000-0000B3030000}"/>
    <cellStyle name="20% - Accent6 6 2 2" xfId="7516" xr:uid="{00000000-0005-0000-0000-0000B4030000}"/>
    <cellStyle name="20% - Accent6 6 2 2 2" xfId="15966" xr:uid="{FDE7B46F-75E4-4DF7-A2B0-77BCAEFB8369}"/>
    <cellStyle name="20% - Accent6 6 2 3" xfId="11748" xr:uid="{DA7EF883-02DD-4006-A1D9-40052AD3D9B7}"/>
    <cellStyle name="20% - Accent6 6 3" xfId="5371" xr:uid="{00000000-0005-0000-0000-0000B5030000}"/>
    <cellStyle name="20% - Accent6 6 3 2" xfId="13821" xr:uid="{A6492553-2F6C-46FB-A96F-FE7CDF2FDA1A}"/>
    <cellStyle name="20% - Accent6 6 4" xfId="9603" xr:uid="{00CEC761-A0EE-430C-A613-3E30BAA2FC22}"/>
    <cellStyle name="20% - Accent6 7" xfId="1477" xr:uid="{00000000-0005-0000-0000-0000B6030000}"/>
    <cellStyle name="20% - Accent6 7 2" xfId="3707" xr:uid="{00000000-0005-0000-0000-0000B7030000}"/>
    <cellStyle name="20% - Accent6 7 2 2" xfId="7929" xr:uid="{00000000-0005-0000-0000-0000B8030000}"/>
    <cellStyle name="20% - Accent6 7 2 2 2" xfId="16379" xr:uid="{AFA700FB-EDE5-4E97-AB64-1C96E5D87D86}"/>
    <cellStyle name="20% - Accent6 7 2 3" xfId="12161" xr:uid="{2F9615C4-8B81-4070-9C96-145A35C690C8}"/>
    <cellStyle name="20% - Accent6 7 3" xfId="5784" xr:uid="{00000000-0005-0000-0000-0000B9030000}"/>
    <cellStyle name="20% - Accent6 7 3 2" xfId="14234" xr:uid="{7588429B-8599-47A3-8382-F50902281FBD}"/>
    <cellStyle name="20% - Accent6 7 4" xfId="10016" xr:uid="{17456D52-B2ED-4CD3-AC73-2D7181C00777}"/>
    <cellStyle name="20% - Accent6 8" xfId="1891" xr:uid="{00000000-0005-0000-0000-0000BA030000}"/>
    <cellStyle name="20% - Accent6 8 2" xfId="4120" xr:uid="{00000000-0005-0000-0000-0000BB030000}"/>
    <cellStyle name="20% - Accent6 8 2 2" xfId="8342" xr:uid="{00000000-0005-0000-0000-0000BC030000}"/>
    <cellStyle name="20% - Accent6 8 2 2 2" xfId="16792" xr:uid="{862D0EF0-FF55-4F14-A12D-5A154DAC57E9}"/>
    <cellStyle name="20% - Accent6 8 2 3" xfId="12574" xr:uid="{B7A93653-7590-4703-936F-4A06B30EAF9B}"/>
    <cellStyle name="20% - Accent6 8 3" xfId="6197" xr:uid="{00000000-0005-0000-0000-0000BD030000}"/>
    <cellStyle name="20% - Accent6 8 3 2" xfId="14647" xr:uid="{1601C5B7-AA92-4932-9485-B59A44E83CF3}"/>
    <cellStyle name="20% - Accent6 8 4" xfId="10429" xr:uid="{BF376E04-41B0-4F8B-8480-0DCC39A897D8}"/>
    <cellStyle name="20% - Accent6 9" xfId="2304" xr:uid="{00000000-0005-0000-0000-0000BE030000}"/>
    <cellStyle name="20% - Accent6 9 2" xfId="6610" xr:uid="{00000000-0005-0000-0000-0000BF030000}"/>
    <cellStyle name="20% - Accent6 9 2 2" xfId="15060" xr:uid="{44340A55-A634-4ED8-AFE9-FF382543959F}"/>
    <cellStyle name="20% - Accent6 9 3" xfId="10842" xr:uid="{DCAF2943-36DC-4351-A051-AAA0FF06A25A}"/>
    <cellStyle name="40% - Accent1" xfId="49" builtinId="31" customBuiltin="1"/>
    <cellStyle name="40% - Accent1 10" xfId="4552" xr:uid="{00000000-0005-0000-0000-0000C1030000}"/>
    <cellStyle name="40% - Accent1 10 2" xfId="13002" xr:uid="{E03DEC6F-0F89-4DB0-A9C3-B6CA8C7E4840}"/>
    <cellStyle name="40% - Accent1 11" xfId="8784" xr:uid="{90CC31FA-BD3B-41BF-A30D-017A2454DB36}"/>
    <cellStyle name="40% - Accent1 2" xfId="50" xr:uid="{00000000-0005-0000-0000-0000C2030000}"/>
    <cellStyle name="40% - Accent1 2 10" xfId="8785" xr:uid="{5F7B41CE-CB52-420C-9553-F91046FCAF66}"/>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2 2 2" xfId="15564" xr:uid="{8D99CD4A-371D-44BF-AE5E-4499E0B720C3}"/>
    <cellStyle name="40% - Accent1 2 2 2 2 2 3" xfId="11346" xr:uid="{45DB2B07-3060-4099-9EAA-D519626D49D2}"/>
    <cellStyle name="40% - Accent1 2 2 2 2 3" xfId="4969" xr:uid="{00000000-0005-0000-0000-0000C8030000}"/>
    <cellStyle name="40% - Accent1 2 2 2 2 3 2" xfId="13419" xr:uid="{82B70175-85FB-430A-97AC-D5BFE87F1383}"/>
    <cellStyle name="40% - Accent1 2 2 2 2 4" xfId="9201" xr:uid="{E6DECDE3-A2C8-4C06-91EC-31889E22F098}"/>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2 2 2" xfId="15977" xr:uid="{3BC250C2-BB3F-4EDB-8ABB-54E1C6780EBF}"/>
    <cellStyle name="40% - Accent1 2 2 2 3 2 3" xfId="11759" xr:uid="{B3D46380-472A-4C6B-B2C7-00F30B398F80}"/>
    <cellStyle name="40% - Accent1 2 2 2 3 3" xfId="5382" xr:uid="{00000000-0005-0000-0000-0000CC030000}"/>
    <cellStyle name="40% - Accent1 2 2 2 3 3 2" xfId="13832" xr:uid="{1B633FEF-F348-4A27-84B9-B9678034F430}"/>
    <cellStyle name="40% - Accent1 2 2 2 3 4" xfId="9614" xr:uid="{FDDFB2A1-462E-43B9-8C65-FF6B5845C2CB}"/>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2 2 2" xfId="16390" xr:uid="{244F4FAD-DFB5-41E4-9F52-0EE0240CA5A4}"/>
    <cellStyle name="40% - Accent1 2 2 2 4 2 3" xfId="12172" xr:uid="{AD6392B4-B6F6-4844-A4E2-547F1BDC73FE}"/>
    <cellStyle name="40% - Accent1 2 2 2 4 3" xfId="5795" xr:uid="{00000000-0005-0000-0000-0000D0030000}"/>
    <cellStyle name="40% - Accent1 2 2 2 4 3 2" xfId="14245" xr:uid="{4774D547-A71B-4BAC-BD71-292CF7FED494}"/>
    <cellStyle name="40% - Accent1 2 2 2 4 4" xfId="10027" xr:uid="{2099C1C6-0902-4C8C-9EA7-C0C17BEFE787}"/>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2 2 2" xfId="16803" xr:uid="{326AEFE7-42F5-416B-8550-F1221C279F01}"/>
    <cellStyle name="40% - Accent1 2 2 2 5 2 3" xfId="12585" xr:uid="{32C1B0A3-6536-4439-AAE1-765AE7E0C754}"/>
    <cellStyle name="40% - Accent1 2 2 2 5 3" xfId="6208" xr:uid="{00000000-0005-0000-0000-0000D4030000}"/>
    <cellStyle name="40% - Accent1 2 2 2 5 3 2" xfId="14658" xr:uid="{4D3491E1-7351-4DE6-B5BF-8C89F6AAEF1F}"/>
    <cellStyle name="40% - Accent1 2 2 2 5 4" xfId="10440" xr:uid="{BAFFE347-D0F9-42DC-AE4A-703AAEB7534F}"/>
    <cellStyle name="40% - Accent1 2 2 2 6" xfId="2315" xr:uid="{00000000-0005-0000-0000-0000D5030000}"/>
    <cellStyle name="40% - Accent1 2 2 2 6 2" xfId="6621" xr:uid="{00000000-0005-0000-0000-0000D6030000}"/>
    <cellStyle name="40% - Accent1 2 2 2 6 2 2" xfId="15071" xr:uid="{4721A5FB-B995-4051-891D-9212313540BD}"/>
    <cellStyle name="40% - Accent1 2 2 2 6 3" xfId="10853" xr:uid="{1380B958-3D1A-4962-9002-E5DF47616E75}"/>
    <cellStyle name="40% - Accent1 2 2 2 7" xfId="4555" xr:uid="{00000000-0005-0000-0000-0000D7030000}"/>
    <cellStyle name="40% - Accent1 2 2 2 7 2" xfId="13005" xr:uid="{9C927922-A693-4A99-ADE8-08EAA7FA7DD4}"/>
    <cellStyle name="40% - Accent1 2 2 2 8" xfId="8787" xr:uid="{A9C83824-02E5-45D4-984A-2D7E4CA2FE53}"/>
    <cellStyle name="40% - Accent1 2 2 3" xfId="620" xr:uid="{00000000-0005-0000-0000-0000D8030000}"/>
    <cellStyle name="40% - Accent1 2 2 3 2" xfId="2891" xr:uid="{00000000-0005-0000-0000-0000D9030000}"/>
    <cellStyle name="40% - Accent1 2 2 3 2 2" xfId="7113" xr:uid="{00000000-0005-0000-0000-0000DA030000}"/>
    <cellStyle name="40% - Accent1 2 2 3 2 2 2" xfId="15563" xr:uid="{9D576C00-FB53-47B3-8AC0-336D75304DD4}"/>
    <cellStyle name="40% - Accent1 2 2 3 2 3" xfId="11345" xr:uid="{3740E20C-B754-4222-9AEF-0328FF02C5F1}"/>
    <cellStyle name="40% - Accent1 2 2 3 3" xfId="4968" xr:uid="{00000000-0005-0000-0000-0000DB030000}"/>
    <cellStyle name="40% - Accent1 2 2 3 3 2" xfId="13418" xr:uid="{BE392826-2A63-42C2-B32A-00D6BAE1626A}"/>
    <cellStyle name="40% - Accent1 2 2 3 4" xfId="9200" xr:uid="{95DB130D-8DC6-4FC2-93A2-34359ED929B0}"/>
    <cellStyle name="40% - Accent1 2 2 4" xfId="1073" xr:uid="{00000000-0005-0000-0000-0000DC030000}"/>
    <cellStyle name="40% - Accent1 2 2 4 2" xfId="3304" xr:uid="{00000000-0005-0000-0000-0000DD030000}"/>
    <cellStyle name="40% - Accent1 2 2 4 2 2" xfId="7526" xr:uid="{00000000-0005-0000-0000-0000DE030000}"/>
    <cellStyle name="40% - Accent1 2 2 4 2 2 2" xfId="15976" xr:uid="{A7A2894A-3C45-484A-A072-80CED61E4A3A}"/>
    <cellStyle name="40% - Accent1 2 2 4 2 3" xfId="11758" xr:uid="{F07DA3D1-4058-4290-840F-93DE33764712}"/>
    <cellStyle name="40% - Accent1 2 2 4 3" xfId="5381" xr:uid="{00000000-0005-0000-0000-0000DF030000}"/>
    <cellStyle name="40% - Accent1 2 2 4 3 2" xfId="13831" xr:uid="{C854348D-50DF-4330-8944-98A5B045126C}"/>
    <cellStyle name="40% - Accent1 2 2 4 4" xfId="9613" xr:uid="{2A178FCD-E1F5-4C39-BB83-CE7D6073C5CB}"/>
    <cellStyle name="40% - Accent1 2 2 5" xfId="1487" xr:uid="{00000000-0005-0000-0000-0000E0030000}"/>
    <cellStyle name="40% - Accent1 2 2 5 2" xfId="3717" xr:uid="{00000000-0005-0000-0000-0000E1030000}"/>
    <cellStyle name="40% - Accent1 2 2 5 2 2" xfId="7939" xr:uid="{00000000-0005-0000-0000-0000E2030000}"/>
    <cellStyle name="40% - Accent1 2 2 5 2 2 2" xfId="16389" xr:uid="{2978BD2B-1126-4A58-870C-8A884A8E9082}"/>
    <cellStyle name="40% - Accent1 2 2 5 2 3" xfId="12171" xr:uid="{2BB21FB2-DDBD-43EA-8BB2-DD3CEA61D076}"/>
    <cellStyle name="40% - Accent1 2 2 5 3" xfId="5794" xr:uid="{00000000-0005-0000-0000-0000E3030000}"/>
    <cellStyle name="40% - Accent1 2 2 5 3 2" xfId="14244" xr:uid="{F8733D19-4DFF-4DF5-BDC9-945546123F87}"/>
    <cellStyle name="40% - Accent1 2 2 5 4" xfId="10026" xr:uid="{854A13DA-387B-4768-B819-F69177335F16}"/>
    <cellStyle name="40% - Accent1 2 2 6" xfId="1901" xr:uid="{00000000-0005-0000-0000-0000E4030000}"/>
    <cellStyle name="40% - Accent1 2 2 6 2" xfId="4130" xr:uid="{00000000-0005-0000-0000-0000E5030000}"/>
    <cellStyle name="40% - Accent1 2 2 6 2 2" xfId="8352" xr:uid="{00000000-0005-0000-0000-0000E6030000}"/>
    <cellStyle name="40% - Accent1 2 2 6 2 2 2" xfId="16802" xr:uid="{0398083B-04BE-4EE8-AD74-C76F9CDC0267}"/>
    <cellStyle name="40% - Accent1 2 2 6 2 3" xfId="12584" xr:uid="{F3AA9A69-C222-4089-BC83-7B44FA7071E3}"/>
    <cellStyle name="40% - Accent1 2 2 6 3" xfId="6207" xr:uid="{00000000-0005-0000-0000-0000E7030000}"/>
    <cellStyle name="40% - Accent1 2 2 6 3 2" xfId="14657" xr:uid="{96C9755B-B7FC-4EB0-950F-65CAD3FB0A4B}"/>
    <cellStyle name="40% - Accent1 2 2 6 4" xfId="10439" xr:uid="{E20581B2-312B-4736-B3D5-DA9636D72080}"/>
    <cellStyle name="40% - Accent1 2 2 7" xfId="2314" xr:uid="{00000000-0005-0000-0000-0000E8030000}"/>
    <cellStyle name="40% - Accent1 2 2 7 2" xfId="6620" xr:uid="{00000000-0005-0000-0000-0000E9030000}"/>
    <cellStyle name="40% - Accent1 2 2 7 2 2" xfId="15070" xr:uid="{4A66749D-D0F6-43C6-93F9-8984F808ADAA}"/>
    <cellStyle name="40% - Accent1 2 2 7 3" xfId="10852" xr:uid="{BE5DB234-5B71-4A3F-94D2-41DDFA715F2B}"/>
    <cellStyle name="40% - Accent1 2 2 8" xfId="4554" xr:uid="{00000000-0005-0000-0000-0000EA030000}"/>
    <cellStyle name="40% - Accent1 2 2 8 2" xfId="13004" xr:uid="{9C8DB170-BC35-4476-9C8D-1894A96B17FD}"/>
    <cellStyle name="40% - Accent1 2 2 9" xfId="8786" xr:uid="{8FAF391C-638C-458F-8797-E2A5D4E108FA}"/>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2 2 2" xfId="15565" xr:uid="{9806AE90-F760-4DB9-8521-597EE4642137}"/>
    <cellStyle name="40% - Accent1 2 3 2 2 3" xfId="11347" xr:uid="{1BD23B67-B5D0-409C-BB8E-DB398C253B6E}"/>
    <cellStyle name="40% - Accent1 2 3 2 3" xfId="4970" xr:uid="{00000000-0005-0000-0000-0000EF030000}"/>
    <cellStyle name="40% - Accent1 2 3 2 3 2" xfId="13420" xr:uid="{B4C369AA-B635-4094-847A-C83196831428}"/>
    <cellStyle name="40% - Accent1 2 3 2 4" xfId="9202" xr:uid="{A2EBC015-3784-4900-8752-490226508268}"/>
    <cellStyle name="40% - Accent1 2 3 3" xfId="1075" xr:uid="{00000000-0005-0000-0000-0000F0030000}"/>
    <cellStyle name="40% - Accent1 2 3 3 2" xfId="3306" xr:uid="{00000000-0005-0000-0000-0000F1030000}"/>
    <cellStyle name="40% - Accent1 2 3 3 2 2" xfId="7528" xr:uid="{00000000-0005-0000-0000-0000F2030000}"/>
    <cellStyle name="40% - Accent1 2 3 3 2 2 2" xfId="15978" xr:uid="{ED7C2C54-8361-47AD-82EF-8675921D80D1}"/>
    <cellStyle name="40% - Accent1 2 3 3 2 3" xfId="11760" xr:uid="{89839864-B4E0-424C-B5F9-45F2696B2B1E}"/>
    <cellStyle name="40% - Accent1 2 3 3 3" xfId="5383" xr:uid="{00000000-0005-0000-0000-0000F3030000}"/>
    <cellStyle name="40% - Accent1 2 3 3 3 2" xfId="13833" xr:uid="{447A6D61-DDF7-408B-9A52-71A5F7A4804B}"/>
    <cellStyle name="40% - Accent1 2 3 3 4" xfId="9615" xr:uid="{AC3E29E3-F469-4EF6-9085-7157C1602CD4}"/>
    <cellStyle name="40% - Accent1 2 3 4" xfId="1489" xr:uid="{00000000-0005-0000-0000-0000F4030000}"/>
    <cellStyle name="40% - Accent1 2 3 4 2" xfId="3719" xr:uid="{00000000-0005-0000-0000-0000F5030000}"/>
    <cellStyle name="40% - Accent1 2 3 4 2 2" xfId="7941" xr:uid="{00000000-0005-0000-0000-0000F6030000}"/>
    <cellStyle name="40% - Accent1 2 3 4 2 2 2" xfId="16391" xr:uid="{44D685DD-CA64-468B-B22A-F2B768E13F95}"/>
    <cellStyle name="40% - Accent1 2 3 4 2 3" xfId="12173" xr:uid="{85C91EA9-ADA3-45DE-B251-276BDB1A828B}"/>
    <cellStyle name="40% - Accent1 2 3 4 3" xfId="5796" xr:uid="{00000000-0005-0000-0000-0000F7030000}"/>
    <cellStyle name="40% - Accent1 2 3 4 3 2" xfId="14246" xr:uid="{19AB59DF-3364-4DC0-86C4-9CC3050FBEC5}"/>
    <cellStyle name="40% - Accent1 2 3 4 4" xfId="10028" xr:uid="{6E456458-068C-4C53-BE7B-96A082BDAF3A}"/>
    <cellStyle name="40% - Accent1 2 3 5" xfId="1903" xr:uid="{00000000-0005-0000-0000-0000F8030000}"/>
    <cellStyle name="40% - Accent1 2 3 5 2" xfId="4132" xr:uid="{00000000-0005-0000-0000-0000F9030000}"/>
    <cellStyle name="40% - Accent1 2 3 5 2 2" xfId="8354" xr:uid="{00000000-0005-0000-0000-0000FA030000}"/>
    <cellStyle name="40% - Accent1 2 3 5 2 2 2" xfId="16804" xr:uid="{BAEA0275-739A-4718-A108-BF13AB96D59B}"/>
    <cellStyle name="40% - Accent1 2 3 5 2 3" xfId="12586" xr:uid="{4F2AA1C1-EDB4-4B05-A647-78BD326F6C8F}"/>
    <cellStyle name="40% - Accent1 2 3 5 3" xfId="6209" xr:uid="{00000000-0005-0000-0000-0000FB030000}"/>
    <cellStyle name="40% - Accent1 2 3 5 3 2" xfId="14659" xr:uid="{039C2A12-E6E2-404F-87CE-3D56775A8DFB}"/>
    <cellStyle name="40% - Accent1 2 3 5 4" xfId="10441" xr:uid="{48F81498-AB49-4CE4-9DBE-C9AF7946F388}"/>
    <cellStyle name="40% - Accent1 2 3 6" xfId="2316" xr:uid="{00000000-0005-0000-0000-0000FC030000}"/>
    <cellStyle name="40% - Accent1 2 3 6 2" xfId="6622" xr:uid="{00000000-0005-0000-0000-0000FD030000}"/>
    <cellStyle name="40% - Accent1 2 3 6 2 2" xfId="15072" xr:uid="{F3E2FF74-EC7E-4520-AE72-434A63B0004C}"/>
    <cellStyle name="40% - Accent1 2 3 6 3" xfId="10854" xr:uid="{0EEAAB19-B8B4-4311-81F5-5C0770A5DB60}"/>
    <cellStyle name="40% - Accent1 2 3 7" xfId="4556" xr:uid="{00000000-0005-0000-0000-0000FE030000}"/>
    <cellStyle name="40% - Accent1 2 3 7 2" xfId="13006" xr:uid="{070632B0-591A-4B58-AC0C-FD641FA371BC}"/>
    <cellStyle name="40% - Accent1 2 3 8" xfId="8788" xr:uid="{DBA49F97-A5E8-4960-B32C-602C04911C91}"/>
    <cellStyle name="40% - Accent1 2 4" xfId="619" xr:uid="{00000000-0005-0000-0000-0000FF030000}"/>
    <cellStyle name="40% - Accent1 2 4 2" xfId="2890" xr:uid="{00000000-0005-0000-0000-000000040000}"/>
    <cellStyle name="40% - Accent1 2 4 2 2" xfId="7112" xr:uid="{00000000-0005-0000-0000-000001040000}"/>
    <cellStyle name="40% - Accent1 2 4 2 2 2" xfId="15562" xr:uid="{05A90AB2-2621-447D-970D-C07BB7123C05}"/>
    <cellStyle name="40% - Accent1 2 4 2 3" xfId="11344" xr:uid="{F61B4091-6A23-4DA1-88E1-539BE0D13AEF}"/>
    <cellStyle name="40% - Accent1 2 4 3" xfId="4967" xr:uid="{00000000-0005-0000-0000-000002040000}"/>
    <cellStyle name="40% - Accent1 2 4 3 2" xfId="13417" xr:uid="{40FD75DB-D1FB-430B-863D-06E2BDDA474B}"/>
    <cellStyle name="40% - Accent1 2 4 4" xfId="9199" xr:uid="{20EC6C08-CE3D-45FD-B9A9-6F41A2A56CA2}"/>
    <cellStyle name="40% - Accent1 2 5" xfId="1072" xr:uid="{00000000-0005-0000-0000-000003040000}"/>
    <cellStyle name="40% - Accent1 2 5 2" xfId="3303" xr:uid="{00000000-0005-0000-0000-000004040000}"/>
    <cellStyle name="40% - Accent1 2 5 2 2" xfId="7525" xr:uid="{00000000-0005-0000-0000-000005040000}"/>
    <cellStyle name="40% - Accent1 2 5 2 2 2" xfId="15975" xr:uid="{C5C89BDA-B04E-4842-A60D-54F2DA56E86B}"/>
    <cellStyle name="40% - Accent1 2 5 2 3" xfId="11757" xr:uid="{3E2EAF1D-E218-4AA4-BB33-B7C1E0EA632D}"/>
    <cellStyle name="40% - Accent1 2 5 3" xfId="5380" xr:uid="{00000000-0005-0000-0000-000006040000}"/>
    <cellStyle name="40% - Accent1 2 5 3 2" xfId="13830" xr:uid="{5610FD83-A944-43A1-B140-411458FE8275}"/>
    <cellStyle name="40% - Accent1 2 5 4" xfId="9612" xr:uid="{ABA625DA-EB7C-415A-A86D-B15F22FA800F}"/>
    <cellStyle name="40% - Accent1 2 6" xfId="1486" xr:uid="{00000000-0005-0000-0000-000007040000}"/>
    <cellStyle name="40% - Accent1 2 6 2" xfId="3716" xr:uid="{00000000-0005-0000-0000-000008040000}"/>
    <cellStyle name="40% - Accent1 2 6 2 2" xfId="7938" xr:uid="{00000000-0005-0000-0000-000009040000}"/>
    <cellStyle name="40% - Accent1 2 6 2 2 2" xfId="16388" xr:uid="{757034BE-D707-4271-93FB-EF7275705D58}"/>
    <cellStyle name="40% - Accent1 2 6 2 3" xfId="12170" xr:uid="{6942B3A7-D72E-4FCE-BB7B-4D87441462E9}"/>
    <cellStyle name="40% - Accent1 2 6 3" xfId="5793" xr:uid="{00000000-0005-0000-0000-00000A040000}"/>
    <cellStyle name="40% - Accent1 2 6 3 2" xfId="14243" xr:uid="{767949AE-C785-40FD-B717-AA8DD0528DE7}"/>
    <cellStyle name="40% - Accent1 2 6 4" xfId="10025" xr:uid="{3FF94372-DE96-4F41-840C-DD84CE1932E9}"/>
    <cellStyle name="40% - Accent1 2 7" xfId="1900" xr:uid="{00000000-0005-0000-0000-00000B040000}"/>
    <cellStyle name="40% - Accent1 2 7 2" xfId="4129" xr:uid="{00000000-0005-0000-0000-00000C040000}"/>
    <cellStyle name="40% - Accent1 2 7 2 2" xfId="8351" xr:uid="{00000000-0005-0000-0000-00000D040000}"/>
    <cellStyle name="40% - Accent1 2 7 2 2 2" xfId="16801" xr:uid="{2A69020D-DBBE-40FE-9831-56E33602308A}"/>
    <cellStyle name="40% - Accent1 2 7 2 3" xfId="12583" xr:uid="{B008982B-EF78-447D-B1B7-7618F6B35C67}"/>
    <cellStyle name="40% - Accent1 2 7 3" xfId="6206" xr:uid="{00000000-0005-0000-0000-00000E040000}"/>
    <cellStyle name="40% - Accent1 2 7 3 2" xfId="14656" xr:uid="{33CC6116-335A-4B21-814C-E98D1FD5D30D}"/>
    <cellStyle name="40% - Accent1 2 7 4" xfId="10438" xr:uid="{0DB61595-8D2C-4D91-BFD0-3A11E8D2DEB7}"/>
    <cellStyle name="40% - Accent1 2 8" xfId="2313" xr:uid="{00000000-0005-0000-0000-00000F040000}"/>
    <cellStyle name="40% - Accent1 2 8 2" xfId="6619" xr:uid="{00000000-0005-0000-0000-000010040000}"/>
    <cellStyle name="40% - Accent1 2 8 2 2" xfId="15069" xr:uid="{C8C91234-2E6B-426C-A343-CF41F0D26E74}"/>
    <cellStyle name="40% - Accent1 2 8 3" xfId="10851" xr:uid="{4CB826F5-60DF-4606-B79B-2AE393D9FC3D}"/>
    <cellStyle name="40% - Accent1 2 9" xfId="4553" xr:uid="{00000000-0005-0000-0000-000011040000}"/>
    <cellStyle name="40% - Accent1 2 9 2" xfId="13003" xr:uid="{CC355620-A7F1-43F9-AD74-F650109E913D}"/>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2 2 2" xfId="15567" xr:uid="{EB6F0A57-8124-4ACE-9D59-8EBC009F4983}"/>
    <cellStyle name="40% - Accent1 3 2 2 2 3" xfId="11349" xr:uid="{E6F2C6A1-294F-4386-B06D-E416C60BA4F7}"/>
    <cellStyle name="40% - Accent1 3 2 2 3" xfId="4972" xr:uid="{00000000-0005-0000-0000-000017040000}"/>
    <cellStyle name="40% - Accent1 3 2 2 3 2" xfId="13422" xr:uid="{3635BE33-3F37-474D-AA87-7870D9ED1C01}"/>
    <cellStyle name="40% - Accent1 3 2 2 4" xfId="9204" xr:uid="{C65EC4D7-410D-4149-B3F2-23AFA4429D7D}"/>
    <cellStyle name="40% - Accent1 3 2 3" xfId="1077" xr:uid="{00000000-0005-0000-0000-000018040000}"/>
    <cellStyle name="40% - Accent1 3 2 3 2" xfId="3308" xr:uid="{00000000-0005-0000-0000-000019040000}"/>
    <cellStyle name="40% - Accent1 3 2 3 2 2" xfId="7530" xr:uid="{00000000-0005-0000-0000-00001A040000}"/>
    <cellStyle name="40% - Accent1 3 2 3 2 2 2" xfId="15980" xr:uid="{784FD069-2DD9-4726-A0C5-88E2E4596729}"/>
    <cellStyle name="40% - Accent1 3 2 3 2 3" xfId="11762" xr:uid="{10EE0B17-DC1F-48AB-8570-73000600DBCD}"/>
    <cellStyle name="40% - Accent1 3 2 3 3" xfId="5385" xr:uid="{00000000-0005-0000-0000-00001B040000}"/>
    <cellStyle name="40% - Accent1 3 2 3 3 2" xfId="13835" xr:uid="{3BB20AD5-53DF-4FEF-8469-A51A170E8AE3}"/>
    <cellStyle name="40% - Accent1 3 2 3 4" xfId="9617" xr:uid="{FEF94DFE-6C90-48B8-AABF-C5D8AD2A1DD3}"/>
    <cellStyle name="40% - Accent1 3 2 4" xfId="1491" xr:uid="{00000000-0005-0000-0000-00001C040000}"/>
    <cellStyle name="40% - Accent1 3 2 4 2" xfId="3721" xr:uid="{00000000-0005-0000-0000-00001D040000}"/>
    <cellStyle name="40% - Accent1 3 2 4 2 2" xfId="7943" xr:uid="{00000000-0005-0000-0000-00001E040000}"/>
    <cellStyle name="40% - Accent1 3 2 4 2 2 2" xfId="16393" xr:uid="{59EC229F-E168-48B7-9A29-23F9C2B93AAF}"/>
    <cellStyle name="40% - Accent1 3 2 4 2 3" xfId="12175" xr:uid="{CD8DE71E-1EC2-47F9-BFE3-3A7D86855E55}"/>
    <cellStyle name="40% - Accent1 3 2 4 3" xfId="5798" xr:uid="{00000000-0005-0000-0000-00001F040000}"/>
    <cellStyle name="40% - Accent1 3 2 4 3 2" xfId="14248" xr:uid="{A233F03D-8C6F-4FAE-9601-FE7771B1079C}"/>
    <cellStyle name="40% - Accent1 3 2 4 4" xfId="10030" xr:uid="{84DE2FF7-B1EC-49ED-9A1F-CAAD51656BC4}"/>
    <cellStyle name="40% - Accent1 3 2 5" xfId="1905" xr:uid="{00000000-0005-0000-0000-000020040000}"/>
    <cellStyle name="40% - Accent1 3 2 5 2" xfId="4134" xr:uid="{00000000-0005-0000-0000-000021040000}"/>
    <cellStyle name="40% - Accent1 3 2 5 2 2" xfId="8356" xr:uid="{00000000-0005-0000-0000-000022040000}"/>
    <cellStyle name="40% - Accent1 3 2 5 2 2 2" xfId="16806" xr:uid="{F7524128-B5B3-4CB3-BCDE-7993BBFE9DBA}"/>
    <cellStyle name="40% - Accent1 3 2 5 2 3" xfId="12588" xr:uid="{91448DE0-D36F-4FAB-BC31-7355CA3E7F82}"/>
    <cellStyle name="40% - Accent1 3 2 5 3" xfId="6211" xr:uid="{00000000-0005-0000-0000-000023040000}"/>
    <cellStyle name="40% - Accent1 3 2 5 3 2" xfId="14661" xr:uid="{95F34DC9-7338-4569-94EC-32010D1B9EE9}"/>
    <cellStyle name="40% - Accent1 3 2 5 4" xfId="10443" xr:uid="{CCA91628-7BD8-4536-99C3-8945052F4F94}"/>
    <cellStyle name="40% - Accent1 3 2 6" xfId="2318" xr:uid="{00000000-0005-0000-0000-000024040000}"/>
    <cellStyle name="40% - Accent1 3 2 6 2" xfId="6624" xr:uid="{00000000-0005-0000-0000-000025040000}"/>
    <cellStyle name="40% - Accent1 3 2 6 2 2" xfId="15074" xr:uid="{11ED7335-54F1-4E8D-865D-25BF8D4599D7}"/>
    <cellStyle name="40% - Accent1 3 2 6 3" xfId="10856" xr:uid="{D16B9F1F-EFF4-4712-94F0-BF3F410EB641}"/>
    <cellStyle name="40% - Accent1 3 2 7" xfId="4558" xr:uid="{00000000-0005-0000-0000-000026040000}"/>
    <cellStyle name="40% - Accent1 3 2 7 2" xfId="13008" xr:uid="{CC48D243-CA5A-41D8-A993-9A66DA8F7747}"/>
    <cellStyle name="40% - Accent1 3 2 8" xfId="8790" xr:uid="{13A50274-EBAA-413B-ABF4-1E0084D9F844}"/>
    <cellStyle name="40% - Accent1 3 3" xfId="623" xr:uid="{00000000-0005-0000-0000-000027040000}"/>
    <cellStyle name="40% - Accent1 3 3 2" xfId="2894" xr:uid="{00000000-0005-0000-0000-000028040000}"/>
    <cellStyle name="40% - Accent1 3 3 2 2" xfId="7116" xr:uid="{00000000-0005-0000-0000-000029040000}"/>
    <cellStyle name="40% - Accent1 3 3 2 2 2" xfId="15566" xr:uid="{2554D953-F787-49EE-B075-3CED3D1124F3}"/>
    <cellStyle name="40% - Accent1 3 3 2 3" xfId="11348" xr:uid="{CEAABA0C-99B9-4F71-A8D4-8B56D76BC59A}"/>
    <cellStyle name="40% - Accent1 3 3 3" xfId="4971" xr:uid="{00000000-0005-0000-0000-00002A040000}"/>
    <cellStyle name="40% - Accent1 3 3 3 2" xfId="13421" xr:uid="{B7D79E4B-A05A-478B-991D-7AEA73A7A650}"/>
    <cellStyle name="40% - Accent1 3 3 4" xfId="9203" xr:uid="{6663D5D2-EE41-4C6A-B23A-785FE42FD968}"/>
    <cellStyle name="40% - Accent1 3 4" xfId="1076" xr:uid="{00000000-0005-0000-0000-00002B040000}"/>
    <cellStyle name="40% - Accent1 3 4 2" xfId="3307" xr:uid="{00000000-0005-0000-0000-00002C040000}"/>
    <cellStyle name="40% - Accent1 3 4 2 2" xfId="7529" xr:uid="{00000000-0005-0000-0000-00002D040000}"/>
    <cellStyle name="40% - Accent1 3 4 2 2 2" xfId="15979" xr:uid="{E0572A54-960A-43BE-8F2D-F793CC0AF81E}"/>
    <cellStyle name="40% - Accent1 3 4 2 3" xfId="11761" xr:uid="{31112751-311F-406E-9748-02B14EAD4CD2}"/>
    <cellStyle name="40% - Accent1 3 4 3" xfId="5384" xr:uid="{00000000-0005-0000-0000-00002E040000}"/>
    <cellStyle name="40% - Accent1 3 4 3 2" xfId="13834" xr:uid="{C176AD53-B8B0-4C01-A64C-48F6264EAB0B}"/>
    <cellStyle name="40% - Accent1 3 4 4" xfId="9616" xr:uid="{F745460E-8CC6-4C36-8A8E-DE6053B953AF}"/>
    <cellStyle name="40% - Accent1 3 5" xfId="1490" xr:uid="{00000000-0005-0000-0000-00002F040000}"/>
    <cellStyle name="40% - Accent1 3 5 2" xfId="3720" xr:uid="{00000000-0005-0000-0000-000030040000}"/>
    <cellStyle name="40% - Accent1 3 5 2 2" xfId="7942" xr:uid="{00000000-0005-0000-0000-000031040000}"/>
    <cellStyle name="40% - Accent1 3 5 2 2 2" xfId="16392" xr:uid="{60E5B031-9290-4354-8F56-FE4DCEF98B74}"/>
    <cellStyle name="40% - Accent1 3 5 2 3" xfId="12174" xr:uid="{64073D43-D0A3-4C6B-8BD8-577536D07FA4}"/>
    <cellStyle name="40% - Accent1 3 5 3" xfId="5797" xr:uid="{00000000-0005-0000-0000-000032040000}"/>
    <cellStyle name="40% - Accent1 3 5 3 2" xfId="14247" xr:uid="{63FF7781-0434-4E2C-A89F-A190B30DF9A7}"/>
    <cellStyle name="40% - Accent1 3 5 4" xfId="10029" xr:uid="{A4FBA073-37E4-4966-AFA6-DC7C87F12C92}"/>
    <cellStyle name="40% - Accent1 3 6" xfId="1904" xr:uid="{00000000-0005-0000-0000-000033040000}"/>
    <cellStyle name="40% - Accent1 3 6 2" xfId="4133" xr:uid="{00000000-0005-0000-0000-000034040000}"/>
    <cellStyle name="40% - Accent1 3 6 2 2" xfId="8355" xr:uid="{00000000-0005-0000-0000-000035040000}"/>
    <cellStyle name="40% - Accent1 3 6 2 2 2" xfId="16805" xr:uid="{7FC1E3C5-19D7-471E-A018-A0B4B597B586}"/>
    <cellStyle name="40% - Accent1 3 6 2 3" xfId="12587" xr:uid="{3E8B87D8-C9AC-4876-83C5-63ABD265C5EE}"/>
    <cellStyle name="40% - Accent1 3 6 3" xfId="6210" xr:uid="{00000000-0005-0000-0000-000036040000}"/>
    <cellStyle name="40% - Accent1 3 6 3 2" xfId="14660" xr:uid="{D9154368-8ECD-4100-8409-6A7C667D348A}"/>
    <cellStyle name="40% - Accent1 3 6 4" xfId="10442" xr:uid="{EAF5C233-E02E-4DA0-B1EE-4459C0AD00AF}"/>
    <cellStyle name="40% - Accent1 3 7" xfId="2317" xr:uid="{00000000-0005-0000-0000-000037040000}"/>
    <cellStyle name="40% - Accent1 3 7 2" xfId="6623" xr:uid="{00000000-0005-0000-0000-000038040000}"/>
    <cellStyle name="40% - Accent1 3 7 2 2" xfId="15073" xr:uid="{F8098758-7544-4BA6-82D2-70D99476381F}"/>
    <cellStyle name="40% - Accent1 3 7 3" xfId="10855" xr:uid="{8E34C9AB-AF6C-41C9-906A-883BD731ABF4}"/>
    <cellStyle name="40% - Accent1 3 8" xfId="4557" xr:uid="{00000000-0005-0000-0000-000039040000}"/>
    <cellStyle name="40% - Accent1 3 8 2" xfId="13007" xr:uid="{E03F2296-60B2-4BFA-A552-06BBAF01FC47}"/>
    <cellStyle name="40% - Accent1 3 9" xfId="8789" xr:uid="{524946F1-71B1-4797-8C44-4486E639220D}"/>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2 2 2" xfId="15568" xr:uid="{4B930F4C-BA1C-46F5-B8F0-863DAB42EAB8}"/>
    <cellStyle name="40% - Accent1 4 2 2 3" xfId="11350" xr:uid="{1E70D2C1-A5E7-4533-96FB-133CC69A9FBB}"/>
    <cellStyle name="40% - Accent1 4 2 3" xfId="4973" xr:uid="{00000000-0005-0000-0000-00003E040000}"/>
    <cellStyle name="40% - Accent1 4 2 3 2" xfId="13423" xr:uid="{F1DE359A-2F69-4597-95F7-230BA41E05F8}"/>
    <cellStyle name="40% - Accent1 4 2 4" xfId="9205" xr:uid="{9A9323CD-1039-491A-B70E-4A0842691B22}"/>
    <cellStyle name="40% - Accent1 4 3" xfId="1078" xr:uid="{00000000-0005-0000-0000-00003F040000}"/>
    <cellStyle name="40% - Accent1 4 3 2" xfId="3309" xr:uid="{00000000-0005-0000-0000-000040040000}"/>
    <cellStyle name="40% - Accent1 4 3 2 2" xfId="7531" xr:uid="{00000000-0005-0000-0000-000041040000}"/>
    <cellStyle name="40% - Accent1 4 3 2 2 2" xfId="15981" xr:uid="{2DDA212D-20BB-42FA-9F3B-179B9049BC2C}"/>
    <cellStyle name="40% - Accent1 4 3 2 3" xfId="11763" xr:uid="{737477E1-9D12-4ACE-B1D3-02512A303FD7}"/>
    <cellStyle name="40% - Accent1 4 3 3" xfId="5386" xr:uid="{00000000-0005-0000-0000-000042040000}"/>
    <cellStyle name="40% - Accent1 4 3 3 2" xfId="13836" xr:uid="{FF2C5D9E-7B0B-4AB3-947C-B623FE9BC1AF}"/>
    <cellStyle name="40% - Accent1 4 3 4" xfId="9618" xr:uid="{7D770336-E221-4618-ACFE-4795888747C0}"/>
    <cellStyle name="40% - Accent1 4 4" xfId="1492" xr:uid="{00000000-0005-0000-0000-000043040000}"/>
    <cellStyle name="40% - Accent1 4 4 2" xfId="3722" xr:uid="{00000000-0005-0000-0000-000044040000}"/>
    <cellStyle name="40% - Accent1 4 4 2 2" xfId="7944" xr:uid="{00000000-0005-0000-0000-000045040000}"/>
    <cellStyle name="40% - Accent1 4 4 2 2 2" xfId="16394" xr:uid="{308FBAFC-9DC0-4B4C-9E54-08AC9E8E2B51}"/>
    <cellStyle name="40% - Accent1 4 4 2 3" xfId="12176" xr:uid="{067B1520-2586-4F1B-AFE9-B0CCF98E4AF2}"/>
    <cellStyle name="40% - Accent1 4 4 3" xfId="5799" xr:uid="{00000000-0005-0000-0000-000046040000}"/>
    <cellStyle name="40% - Accent1 4 4 3 2" xfId="14249" xr:uid="{E824B6C9-E5D8-4E72-83C7-EF449322D30C}"/>
    <cellStyle name="40% - Accent1 4 4 4" xfId="10031" xr:uid="{46D0A71F-FE5B-43D9-907B-407B65D12618}"/>
    <cellStyle name="40% - Accent1 4 5" xfId="1906" xr:uid="{00000000-0005-0000-0000-000047040000}"/>
    <cellStyle name="40% - Accent1 4 5 2" xfId="4135" xr:uid="{00000000-0005-0000-0000-000048040000}"/>
    <cellStyle name="40% - Accent1 4 5 2 2" xfId="8357" xr:uid="{00000000-0005-0000-0000-000049040000}"/>
    <cellStyle name="40% - Accent1 4 5 2 2 2" xfId="16807" xr:uid="{1C4FF0A9-DCFC-4C38-A869-B47C956EFF40}"/>
    <cellStyle name="40% - Accent1 4 5 2 3" xfId="12589" xr:uid="{F1F7FAE8-3549-4424-A7C0-E8340AA55476}"/>
    <cellStyle name="40% - Accent1 4 5 3" xfId="6212" xr:uid="{00000000-0005-0000-0000-00004A040000}"/>
    <cellStyle name="40% - Accent1 4 5 3 2" xfId="14662" xr:uid="{E31A7A71-E1B1-4B12-96B6-53C756FB1C7E}"/>
    <cellStyle name="40% - Accent1 4 5 4" xfId="10444" xr:uid="{44E87641-81FB-4088-9D0E-3A688C48CC8E}"/>
    <cellStyle name="40% - Accent1 4 6" xfId="2319" xr:uid="{00000000-0005-0000-0000-00004B040000}"/>
    <cellStyle name="40% - Accent1 4 6 2" xfId="6625" xr:uid="{00000000-0005-0000-0000-00004C040000}"/>
    <cellStyle name="40% - Accent1 4 6 2 2" xfId="15075" xr:uid="{9DE12C27-41FC-4010-B09F-C50479FE8DBD}"/>
    <cellStyle name="40% - Accent1 4 6 3" xfId="10857" xr:uid="{08B813F5-73F7-4278-9FFC-F0016D94C275}"/>
    <cellStyle name="40% - Accent1 4 7" xfId="4559" xr:uid="{00000000-0005-0000-0000-00004D040000}"/>
    <cellStyle name="40% - Accent1 4 7 2" xfId="13009" xr:uid="{24F4ECE1-31ED-494B-BC18-2CED83A8F0DE}"/>
    <cellStyle name="40% - Accent1 4 8" xfId="8791" xr:uid="{AA2ED0C5-067E-4C9C-A455-C817B68844F9}"/>
    <cellStyle name="40% - Accent1 5" xfId="618" xr:uid="{00000000-0005-0000-0000-00004E040000}"/>
    <cellStyle name="40% - Accent1 5 2" xfId="2889" xr:uid="{00000000-0005-0000-0000-00004F040000}"/>
    <cellStyle name="40% - Accent1 5 2 2" xfId="7111" xr:uid="{00000000-0005-0000-0000-000050040000}"/>
    <cellStyle name="40% - Accent1 5 2 2 2" xfId="15561" xr:uid="{F1C4BBD9-454E-4005-86BA-F71E24DF2E58}"/>
    <cellStyle name="40% - Accent1 5 2 3" xfId="11343" xr:uid="{EE232D0C-1872-404A-81C7-427A31534B59}"/>
    <cellStyle name="40% - Accent1 5 3" xfId="4966" xr:uid="{00000000-0005-0000-0000-000051040000}"/>
    <cellStyle name="40% - Accent1 5 3 2" xfId="13416" xr:uid="{1F192838-3573-4A5B-810F-18AF8D828B68}"/>
    <cellStyle name="40% - Accent1 5 4" xfId="9198" xr:uid="{8CD1E11B-4CEC-4EBF-BB46-C64D2708D898}"/>
    <cellStyle name="40% - Accent1 6" xfId="1071" xr:uid="{00000000-0005-0000-0000-000052040000}"/>
    <cellStyle name="40% - Accent1 6 2" xfId="3302" xr:uid="{00000000-0005-0000-0000-000053040000}"/>
    <cellStyle name="40% - Accent1 6 2 2" xfId="7524" xr:uid="{00000000-0005-0000-0000-000054040000}"/>
    <cellStyle name="40% - Accent1 6 2 2 2" xfId="15974" xr:uid="{76F3F5B9-15AB-4EE2-9B1A-FC6E9C082CB2}"/>
    <cellStyle name="40% - Accent1 6 2 3" xfId="11756" xr:uid="{18835C8B-7A1E-4736-B5C5-0C7530464E28}"/>
    <cellStyle name="40% - Accent1 6 3" xfId="5379" xr:uid="{00000000-0005-0000-0000-000055040000}"/>
    <cellStyle name="40% - Accent1 6 3 2" xfId="13829" xr:uid="{ABC15820-54B1-4C72-BF12-E816AF9EB2CC}"/>
    <cellStyle name="40% - Accent1 6 4" xfId="9611" xr:uid="{077595AA-5B7C-4CEF-9B54-47605AC1D792}"/>
    <cellStyle name="40% - Accent1 7" xfId="1485" xr:uid="{00000000-0005-0000-0000-000056040000}"/>
    <cellStyle name="40% - Accent1 7 2" xfId="3715" xr:uid="{00000000-0005-0000-0000-000057040000}"/>
    <cellStyle name="40% - Accent1 7 2 2" xfId="7937" xr:uid="{00000000-0005-0000-0000-000058040000}"/>
    <cellStyle name="40% - Accent1 7 2 2 2" xfId="16387" xr:uid="{A7966A33-2A8C-4F97-B086-CEE35E1D5F84}"/>
    <cellStyle name="40% - Accent1 7 2 3" xfId="12169" xr:uid="{17B2ABFB-AC2A-476C-B466-DCD96ED63284}"/>
    <cellStyle name="40% - Accent1 7 3" xfId="5792" xr:uid="{00000000-0005-0000-0000-000059040000}"/>
    <cellStyle name="40% - Accent1 7 3 2" xfId="14242" xr:uid="{03764168-9B33-4F0B-A943-F0EAFC56B15F}"/>
    <cellStyle name="40% - Accent1 7 4" xfId="10024" xr:uid="{A2246BDD-FA0F-4CC9-92A0-42517C914D90}"/>
    <cellStyle name="40% - Accent1 8" xfId="1899" xr:uid="{00000000-0005-0000-0000-00005A040000}"/>
    <cellStyle name="40% - Accent1 8 2" xfId="4128" xr:uid="{00000000-0005-0000-0000-00005B040000}"/>
    <cellStyle name="40% - Accent1 8 2 2" xfId="8350" xr:uid="{00000000-0005-0000-0000-00005C040000}"/>
    <cellStyle name="40% - Accent1 8 2 2 2" xfId="16800" xr:uid="{84B52592-AB92-4D9E-92D5-CF21AF356838}"/>
    <cellStyle name="40% - Accent1 8 2 3" xfId="12582" xr:uid="{E9EA9A62-3320-4959-8F55-3267D8E0AE43}"/>
    <cellStyle name="40% - Accent1 8 3" xfId="6205" xr:uid="{00000000-0005-0000-0000-00005D040000}"/>
    <cellStyle name="40% - Accent1 8 3 2" xfId="14655" xr:uid="{55799056-5B06-4242-978E-5AEF2D29B1DD}"/>
    <cellStyle name="40% - Accent1 8 4" xfId="10437" xr:uid="{FACE5A84-5D46-4EA8-BEFE-0EE50398288B}"/>
    <cellStyle name="40% - Accent1 9" xfId="2312" xr:uid="{00000000-0005-0000-0000-00005E040000}"/>
    <cellStyle name="40% - Accent1 9 2" xfId="6618" xr:uid="{00000000-0005-0000-0000-00005F040000}"/>
    <cellStyle name="40% - Accent1 9 2 2" xfId="15068" xr:uid="{221F3768-D64C-4093-86E4-34A8A7BB899C}"/>
    <cellStyle name="40% - Accent1 9 3" xfId="10850" xr:uid="{590A0F5F-7E3C-4F36-AEFA-6139ECFE8CA8}"/>
    <cellStyle name="40% - Accent2" xfId="57" builtinId="35" customBuiltin="1"/>
    <cellStyle name="40% - Accent2 10" xfId="4560" xr:uid="{00000000-0005-0000-0000-000061040000}"/>
    <cellStyle name="40% - Accent2 10 2" xfId="13010" xr:uid="{87F4C554-AB63-46AE-BB10-9961F8C3F743}"/>
    <cellStyle name="40% - Accent2 11" xfId="8792" xr:uid="{FE10252B-4061-4470-8094-AA3597F5AA60}"/>
    <cellStyle name="40% - Accent2 2" xfId="58" xr:uid="{00000000-0005-0000-0000-000062040000}"/>
    <cellStyle name="40% - Accent2 2 10" xfId="8793" xr:uid="{2BF51106-2540-4C34-8E09-58CC31E5251B}"/>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2 2 2" xfId="15572" xr:uid="{DEA378B7-5BD5-4F64-9619-12DD3CD61F3B}"/>
    <cellStyle name="40% - Accent2 2 2 2 2 2 3" xfId="11354" xr:uid="{31C9A56D-2BD8-4FC6-9AE6-196CEC8CF5B9}"/>
    <cellStyle name="40% - Accent2 2 2 2 2 3" xfId="4977" xr:uid="{00000000-0005-0000-0000-000068040000}"/>
    <cellStyle name="40% - Accent2 2 2 2 2 3 2" xfId="13427" xr:uid="{E9499EE1-7F22-4DAC-8DE4-5B6C07D970A7}"/>
    <cellStyle name="40% - Accent2 2 2 2 2 4" xfId="9209" xr:uid="{DDCBA024-80A4-4950-951E-B2A933B58262}"/>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2 2 2" xfId="15985" xr:uid="{FD395E9B-8581-4738-9A21-04A20A3EB9C3}"/>
    <cellStyle name="40% - Accent2 2 2 2 3 2 3" xfId="11767" xr:uid="{CAB4B134-6BF0-4F28-B970-402F84DADE31}"/>
    <cellStyle name="40% - Accent2 2 2 2 3 3" xfId="5390" xr:uid="{00000000-0005-0000-0000-00006C040000}"/>
    <cellStyle name="40% - Accent2 2 2 2 3 3 2" xfId="13840" xr:uid="{B3F99CA8-97A6-4761-B585-D7E60C28AC05}"/>
    <cellStyle name="40% - Accent2 2 2 2 3 4" xfId="9622" xr:uid="{88BB5078-1938-458B-811F-22D549F537AF}"/>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2 2 2" xfId="16398" xr:uid="{6295414D-6DDC-44ED-A199-E530E1AAD894}"/>
    <cellStyle name="40% - Accent2 2 2 2 4 2 3" xfId="12180" xr:uid="{24CD3100-1DA5-4DD4-8558-D672EFAE80F6}"/>
    <cellStyle name="40% - Accent2 2 2 2 4 3" xfId="5803" xr:uid="{00000000-0005-0000-0000-000070040000}"/>
    <cellStyle name="40% - Accent2 2 2 2 4 3 2" xfId="14253" xr:uid="{94828087-FB80-4174-9DED-1BEF58B3E4F0}"/>
    <cellStyle name="40% - Accent2 2 2 2 4 4" xfId="10035" xr:uid="{D9081602-A7A9-4721-9D9E-B8501C400CFF}"/>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2 2 2" xfId="16811" xr:uid="{2998C522-BD40-4EDC-B64F-DBA73CB0A5AC}"/>
    <cellStyle name="40% - Accent2 2 2 2 5 2 3" xfId="12593" xr:uid="{A8C7378D-6B4F-4CB5-AF7C-5A48781E568F}"/>
    <cellStyle name="40% - Accent2 2 2 2 5 3" xfId="6216" xr:uid="{00000000-0005-0000-0000-000074040000}"/>
    <cellStyle name="40% - Accent2 2 2 2 5 3 2" xfId="14666" xr:uid="{AF9026A8-509B-46B9-9732-0CC937A71C9A}"/>
    <cellStyle name="40% - Accent2 2 2 2 5 4" xfId="10448" xr:uid="{BCB15743-23C0-4E24-869C-8B54E292DD9D}"/>
    <cellStyle name="40% - Accent2 2 2 2 6" xfId="2323" xr:uid="{00000000-0005-0000-0000-000075040000}"/>
    <cellStyle name="40% - Accent2 2 2 2 6 2" xfId="6629" xr:uid="{00000000-0005-0000-0000-000076040000}"/>
    <cellStyle name="40% - Accent2 2 2 2 6 2 2" xfId="15079" xr:uid="{22C37DCF-0849-480A-8EF1-994F8C0A17B2}"/>
    <cellStyle name="40% - Accent2 2 2 2 6 3" xfId="10861" xr:uid="{83588C97-C4D9-4F68-ABB5-763D09ACB3A8}"/>
    <cellStyle name="40% - Accent2 2 2 2 7" xfId="4563" xr:uid="{00000000-0005-0000-0000-000077040000}"/>
    <cellStyle name="40% - Accent2 2 2 2 7 2" xfId="13013" xr:uid="{4CAA79A6-2A5B-4E7D-8377-29EC6F7A407E}"/>
    <cellStyle name="40% - Accent2 2 2 2 8" xfId="8795" xr:uid="{3B71E88B-974F-42B6-954B-164E4E8664DF}"/>
    <cellStyle name="40% - Accent2 2 2 3" xfId="628" xr:uid="{00000000-0005-0000-0000-000078040000}"/>
    <cellStyle name="40% - Accent2 2 2 3 2" xfId="2899" xr:uid="{00000000-0005-0000-0000-000079040000}"/>
    <cellStyle name="40% - Accent2 2 2 3 2 2" xfId="7121" xr:uid="{00000000-0005-0000-0000-00007A040000}"/>
    <cellStyle name="40% - Accent2 2 2 3 2 2 2" xfId="15571" xr:uid="{02538DC3-2B74-47CC-BAAF-B34CCF1776F5}"/>
    <cellStyle name="40% - Accent2 2 2 3 2 3" xfId="11353" xr:uid="{D64C09CE-2AB1-4793-8363-E2F06B10EC3C}"/>
    <cellStyle name="40% - Accent2 2 2 3 3" xfId="4976" xr:uid="{00000000-0005-0000-0000-00007B040000}"/>
    <cellStyle name="40% - Accent2 2 2 3 3 2" xfId="13426" xr:uid="{3A001586-D83D-4CB6-AB15-0FDF7B887A97}"/>
    <cellStyle name="40% - Accent2 2 2 3 4" xfId="9208" xr:uid="{14A734D3-D1CE-45B6-B844-6C85A63C1625}"/>
    <cellStyle name="40% - Accent2 2 2 4" xfId="1081" xr:uid="{00000000-0005-0000-0000-00007C040000}"/>
    <cellStyle name="40% - Accent2 2 2 4 2" xfId="3312" xr:uid="{00000000-0005-0000-0000-00007D040000}"/>
    <cellStyle name="40% - Accent2 2 2 4 2 2" xfId="7534" xr:uid="{00000000-0005-0000-0000-00007E040000}"/>
    <cellStyle name="40% - Accent2 2 2 4 2 2 2" xfId="15984" xr:uid="{0AD57BE3-3B9C-49E5-9388-4249F4911220}"/>
    <cellStyle name="40% - Accent2 2 2 4 2 3" xfId="11766" xr:uid="{4A6A2A04-FDF2-40B7-9F19-A64C6DFA4E7B}"/>
    <cellStyle name="40% - Accent2 2 2 4 3" xfId="5389" xr:uid="{00000000-0005-0000-0000-00007F040000}"/>
    <cellStyle name="40% - Accent2 2 2 4 3 2" xfId="13839" xr:uid="{21757E0D-0A8D-4068-93B0-0665BE2A78EE}"/>
    <cellStyle name="40% - Accent2 2 2 4 4" xfId="9621" xr:uid="{BD8DFFDB-AB77-4926-9F5E-9B24B41DB547}"/>
    <cellStyle name="40% - Accent2 2 2 5" xfId="1495" xr:uid="{00000000-0005-0000-0000-000080040000}"/>
    <cellStyle name="40% - Accent2 2 2 5 2" xfId="3725" xr:uid="{00000000-0005-0000-0000-000081040000}"/>
    <cellStyle name="40% - Accent2 2 2 5 2 2" xfId="7947" xr:uid="{00000000-0005-0000-0000-000082040000}"/>
    <cellStyle name="40% - Accent2 2 2 5 2 2 2" xfId="16397" xr:uid="{B0BA54BE-504A-4DF0-9078-4FD6B2176F49}"/>
    <cellStyle name="40% - Accent2 2 2 5 2 3" xfId="12179" xr:uid="{5D7ED6E3-0A2C-40C0-A96E-4D9A626201FB}"/>
    <cellStyle name="40% - Accent2 2 2 5 3" xfId="5802" xr:uid="{00000000-0005-0000-0000-000083040000}"/>
    <cellStyle name="40% - Accent2 2 2 5 3 2" xfId="14252" xr:uid="{8172F995-83CE-41DA-9A1B-9A7CFD39C480}"/>
    <cellStyle name="40% - Accent2 2 2 5 4" xfId="10034" xr:uid="{03C114D9-E830-4868-9674-75F6548D5F2B}"/>
    <cellStyle name="40% - Accent2 2 2 6" xfId="1909" xr:uid="{00000000-0005-0000-0000-000084040000}"/>
    <cellStyle name="40% - Accent2 2 2 6 2" xfId="4138" xr:uid="{00000000-0005-0000-0000-000085040000}"/>
    <cellStyle name="40% - Accent2 2 2 6 2 2" xfId="8360" xr:uid="{00000000-0005-0000-0000-000086040000}"/>
    <cellStyle name="40% - Accent2 2 2 6 2 2 2" xfId="16810" xr:uid="{6EE1C6C9-996C-4910-A7E9-D2326B0E104E}"/>
    <cellStyle name="40% - Accent2 2 2 6 2 3" xfId="12592" xr:uid="{80B34362-3FEE-4084-8607-4E9582666493}"/>
    <cellStyle name="40% - Accent2 2 2 6 3" xfId="6215" xr:uid="{00000000-0005-0000-0000-000087040000}"/>
    <cellStyle name="40% - Accent2 2 2 6 3 2" xfId="14665" xr:uid="{EADF8D3D-A1C1-4384-896B-FA92F41432F0}"/>
    <cellStyle name="40% - Accent2 2 2 6 4" xfId="10447" xr:uid="{4F20CA8A-4EF5-48E5-ABF6-64566EC3DBDA}"/>
    <cellStyle name="40% - Accent2 2 2 7" xfId="2322" xr:uid="{00000000-0005-0000-0000-000088040000}"/>
    <cellStyle name="40% - Accent2 2 2 7 2" xfId="6628" xr:uid="{00000000-0005-0000-0000-000089040000}"/>
    <cellStyle name="40% - Accent2 2 2 7 2 2" xfId="15078" xr:uid="{AE3F36E8-7FD4-4C91-938A-1B32FCC6E1D0}"/>
    <cellStyle name="40% - Accent2 2 2 7 3" xfId="10860" xr:uid="{272D7BD0-9241-4300-9D52-3DCF9C8AFBA5}"/>
    <cellStyle name="40% - Accent2 2 2 8" xfId="4562" xr:uid="{00000000-0005-0000-0000-00008A040000}"/>
    <cellStyle name="40% - Accent2 2 2 8 2" xfId="13012" xr:uid="{4D4E1E07-5E26-45E9-A641-DB20DF005A41}"/>
    <cellStyle name="40% - Accent2 2 2 9" xfId="8794" xr:uid="{23E27B22-2B9F-44B1-88A5-7FE840D6B742}"/>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2 2 2" xfId="15573" xr:uid="{C0387F31-6BFE-43FC-BB33-19374393EEDA}"/>
    <cellStyle name="40% - Accent2 2 3 2 2 3" xfId="11355" xr:uid="{8922B7C5-B9A8-4212-84C8-91C3A130A186}"/>
    <cellStyle name="40% - Accent2 2 3 2 3" xfId="4978" xr:uid="{00000000-0005-0000-0000-00008F040000}"/>
    <cellStyle name="40% - Accent2 2 3 2 3 2" xfId="13428" xr:uid="{DF53EE86-7F43-41C2-ABDA-E11BCBA48C95}"/>
    <cellStyle name="40% - Accent2 2 3 2 4" xfId="9210" xr:uid="{0C5A2787-B0BB-464F-B0EF-15606171A8C2}"/>
    <cellStyle name="40% - Accent2 2 3 3" xfId="1083" xr:uid="{00000000-0005-0000-0000-000090040000}"/>
    <cellStyle name="40% - Accent2 2 3 3 2" xfId="3314" xr:uid="{00000000-0005-0000-0000-000091040000}"/>
    <cellStyle name="40% - Accent2 2 3 3 2 2" xfId="7536" xr:uid="{00000000-0005-0000-0000-000092040000}"/>
    <cellStyle name="40% - Accent2 2 3 3 2 2 2" xfId="15986" xr:uid="{604BB0DA-30EB-4B35-B1B6-AEF5870D1663}"/>
    <cellStyle name="40% - Accent2 2 3 3 2 3" xfId="11768" xr:uid="{9D026D49-ABF4-441B-8545-95F17D04DCB7}"/>
    <cellStyle name="40% - Accent2 2 3 3 3" xfId="5391" xr:uid="{00000000-0005-0000-0000-000093040000}"/>
    <cellStyle name="40% - Accent2 2 3 3 3 2" xfId="13841" xr:uid="{DC116D1B-10D6-4652-A34E-9379C28333EA}"/>
    <cellStyle name="40% - Accent2 2 3 3 4" xfId="9623" xr:uid="{219937C0-B61D-4DA7-8459-8B05CBDB9360}"/>
    <cellStyle name="40% - Accent2 2 3 4" xfId="1497" xr:uid="{00000000-0005-0000-0000-000094040000}"/>
    <cellStyle name="40% - Accent2 2 3 4 2" xfId="3727" xr:uid="{00000000-0005-0000-0000-000095040000}"/>
    <cellStyle name="40% - Accent2 2 3 4 2 2" xfId="7949" xr:uid="{00000000-0005-0000-0000-000096040000}"/>
    <cellStyle name="40% - Accent2 2 3 4 2 2 2" xfId="16399" xr:uid="{412BCE5C-D6CC-4408-9B2D-78AB8E385D90}"/>
    <cellStyle name="40% - Accent2 2 3 4 2 3" xfId="12181" xr:uid="{269F7941-CAAC-4BB8-BD59-FE358FE6B13E}"/>
    <cellStyle name="40% - Accent2 2 3 4 3" xfId="5804" xr:uid="{00000000-0005-0000-0000-000097040000}"/>
    <cellStyle name="40% - Accent2 2 3 4 3 2" xfId="14254" xr:uid="{A89B48F8-06BB-4D6E-AF0E-78E87C83A87C}"/>
    <cellStyle name="40% - Accent2 2 3 4 4" xfId="10036" xr:uid="{8E54FAC6-7617-48DA-8E39-59C5F617AC60}"/>
    <cellStyle name="40% - Accent2 2 3 5" xfId="1911" xr:uid="{00000000-0005-0000-0000-000098040000}"/>
    <cellStyle name="40% - Accent2 2 3 5 2" xfId="4140" xr:uid="{00000000-0005-0000-0000-000099040000}"/>
    <cellStyle name="40% - Accent2 2 3 5 2 2" xfId="8362" xr:uid="{00000000-0005-0000-0000-00009A040000}"/>
    <cellStyle name="40% - Accent2 2 3 5 2 2 2" xfId="16812" xr:uid="{EEFCDD92-CABF-40AE-81F6-1355B5D47FAF}"/>
    <cellStyle name="40% - Accent2 2 3 5 2 3" xfId="12594" xr:uid="{8030C7D0-F88D-415A-830E-4410A8E35BB2}"/>
    <cellStyle name="40% - Accent2 2 3 5 3" xfId="6217" xr:uid="{00000000-0005-0000-0000-00009B040000}"/>
    <cellStyle name="40% - Accent2 2 3 5 3 2" xfId="14667" xr:uid="{010758A0-C742-4B62-ABC4-C06928A4A5C0}"/>
    <cellStyle name="40% - Accent2 2 3 5 4" xfId="10449" xr:uid="{FBADB269-902E-4BD7-84D5-6C9D1902095F}"/>
    <cellStyle name="40% - Accent2 2 3 6" xfId="2324" xr:uid="{00000000-0005-0000-0000-00009C040000}"/>
    <cellStyle name="40% - Accent2 2 3 6 2" xfId="6630" xr:uid="{00000000-0005-0000-0000-00009D040000}"/>
    <cellStyle name="40% - Accent2 2 3 6 2 2" xfId="15080" xr:uid="{FE7E8186-64EB-489F-86D9-93D37EF68D31}"/>
    <cellStyle name="40% - Accent2 2 3 6 3" xfId="10862" xr:uid="{72FF797F-0195-4CF6-8120-4585DB28DE7F}"/>
    <cellStyle name="40% - Accent2 2 3 7" xfId="4564" xr:uid="{00000000-0005-0000-0000-00009E040000}"/>
    <cellStyle name="40% - Accent2 2 3 7 2" xfId="13014" xr:uid="{91DC891B-2123-41F1-B5C8-06C5CDEDE673}"/>
    <cellStyle name="40% - Accent2 2 3 8" xfId="8796" xr:uid="{5DBA44AA-46C3-42BD-B3CA-570F29D80BD2}"/>
    <cellStyle name="40% - Accent2 2 4" xfId="627" xr:uid="{00000000-0005-0000-0000-00009F040000}"/>
    <cellStyle name="40% - Accent2 2 4 2" xfId="2898" xr:uid="{00000000-0005-0000-0000-0000A0040000}"/>
    <cellStyle name="40% - Accent2 2 4 2 2" xfId="7120" xr:uid="{00000000-0005-0000-0000-0000A1040000}"/>
    <cellStyle name="40% - Accent2 2 4 2 2 2" xfId="15570" xr:uid="{4365169F-15E9-4194-A05A-1951F4083B26}"/>
    <cellStyle name="40% - Accent2 2 4 2 3" xfId="11352" xr:uid="{F55709EA-470C-4150-B110-424979C1A41C}"/>
    <cellStyle name="40% - Accent2 2 4 3" xfId="4975" xr:uid="{00000000-0005-0000-0000-0000A2040000}"/>
    <cellStyle name="40% - Accent2 2 4 3 2" xfId="13425" xr:uid="{D850BADE-F80C-4BD5-BCBF-F875AB6E58F7}"/>
    <cellStyle name="40% - Accent2 2 4 4" xfId="9207" xr:uid="{7355CEFE-1A1C-4E31-88F2-1682147A2905}"/>
    <cellStyle name="40% - Accent2 2 5" xfId="1080" xr:uid="{00000000-0005-0000-0000-0000A3040000}"/>
    <cellStyle name="40% - Accent2 2 5 2" xfId="3311" xr:uid="{00000000-0005-0000-0000-0000A4040000}"/>
    <cellStyle name="40% - Accent2 2 5 2 2" xfId="7533" xr:uid="{00000000-0005-0000-0000-0000A5040000}"/>
    <cellStyle name="40% - Accent2 2 5 2 2 2" xfId="15983" xr:uid="{67843153-D148-423B-B8BF-2E9029ABCC44}"/>
    <cellStyle name="40% - Accent2 2 5 2 3" xfId="11765" xr:uid="{AA5AC53D-D759-41D2-9D48-56A0998C7A88}"/>
    <cellStyle name="40% - Accent2 2 5 3" xfId="5388" xr:uid="{00000000-0005-0000-0000-0000A6040000}"/>
    <cellStyle name="40% - Accent2 2 5 3 2" xfId="13838" xr:uid="{1EB2BFEC-2F94-4822-BFEA-71E565A6E972}"/>
    <cellStyle name="40% - Accent2 2 5 4" xfId="9620" xr:uid="{7EB21A4B-FE07-497E-B97D-C335148F02D7}"/>
    <cellStyle name="40% - Accent2 2 6" xfId="1494" xr:uid="{00000000-0005-0000-0000-0000A7040000}"/>
    <cellStyle name="40% - Accent2 2 6 2" xfId="3724" xr:uid="{00000000-0005-0000-0000-0000A8040000}"/>
    <cellStyle name="40% - Accent2 2 6 2 2" xfId="7946" xr:uid="{00000000-0005-0000-0000-0000A9040000}"/>
    <cellStyle name="40% - Accent2 2 6 2 2 2" xfId="16396" xr:uid="{DB9D2A4C-4EC7-4423-B78B-CA3B427A1F6B}"/>
    <cellStyle name="40% - Accent2 2 6 2 3" xfId="12178" xr:uid="{8DEE5CF0-17F1-43F2-A185-5FF5A726ED26}"/>
    <cellStyle name="40% - Accent2 2 6 3" xfId="5801" xr:uid="{00000000-0005-0000-0000-0000AA040000}"/>
    <cellStyle name="40% - Accent2 2 6 3 2" xfId="14251" xr:uid="{4E9C570A-8B04-4982-8F01-15C5E1C2E566}"/>
    <cellStyle name="40% - Accent2 2 6 4" xfId="10033" xr:uid="{7FEEEB0D-0013-4E9D-8422-F16E628B68B0}"/>
    <cellStyle name="40% - Accent2 2 7" xfId="1908" xr:uid="{00000000-0005-0000-0000-0000AB040000}"/>
    <cellStyle name="40% - Accent2 2 7 2" xfId="4137" xr:uid="{00000000-0005-0000-0000-0000AC040000}"/>
    <cellStyle name="40% - Accent2 2 7 2 2" xfId="8359" xr:uid="{00000000-0005-0000-0000-0000AD040000}"/>
    <cellStyle name="40% - Accent2 2 7 2 2 2" xfId="16809" xr:uid="{30B1CDF3-8A80-44A9-9744-522D3696259E}"/>
    <cellStyle name="40% - Accent2 2 7 2 3" xfId="12591" xr:uid="{C4160817-9A3A-4A75-9517-1D0510EA9D2B}"/>
    <cellStyle name="40% - Accent2 2 7 3" xfId="6214" xr:uid="{00000000-0005-0000-0000-0000AE040000}"/>
    <cellStyle name="40% - Accent2 2 7 3 2" xfId="14664" xr:uid="{C353FA7E-9672-4069-9631-5B1FED6C5E2D}"/>
    <cellStyle name="40% - Accent2 2 7 4" xfId="10446" xr:uid="{7F0F0C02-1D26-42FE-8004-F9B2580ECE36}"/>
    <cellStyle name="40% - Accent2 2 8" xfId="2321" xr:uid="{00000000-0005-0000-0000-0000AF040000}"/>
    <cellStyle name="40% - Accent2 2 8 2" xfId="6627" xr:uid="{00000000-0005-0000-0000-0000B0040000}"/>
    <cellStyle name="40% - Accent2 2 8 2 2" xfId="15077" xr:uid="{4BE1477C-13F6-43C6-97FD-D838FAED1EE4}"/>
    <cellStyle name="40% - Accent2 2 8 3" xfId="10859" xr:uid="{81F6E325-8F9B-4E76-9C91-704BE7580D0D}"/>
    <cellStyle name="40% - Accent2 2 9" xfId="4561" xr:uid="{00000000-0005-0000-0000-0000B1040000}"/>
    <cellStyle name="40% - Accent2 2 9 2" xfId="13011" xr:uid="{0DB27709-FAD4-49A2-9907-B5682229672A}"/>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2 2 2" xfId="15575" xr:uid="{DAEF0208-2E09-4125-BD57-348CCD575374}"/>
    <cellStyle name="40% - Accent2 3 2 2 2 3" xfId="11357" xr:uid="{86D6E9A7-721B-4182-B9BA-D8932313B8D6}"/>
    <cellStyle name="40% - Accent2 3 2 2 3" xfId="4980" xr:uid="{00000000-0005-0000-0000-0000B7040000}"/>
    <cellStyle name="40% - Accent2 3 2 2 3 2" xfId="13430" xr:uid="{F230DD62-5B4D-4B04-A5E8-64C38C81BFC5}"/>
    <cellStyle name="40% - Accent2 3 2 2 4" xfId="9212" xr:uid="{CB9C3FB5-FE75-456E-B616-DBD6BB70233A}"/>
    <cellStyle name="40% - Accent2 3 2 3" xfId="1085" xr:uid="{00000000-0005-0000-0000-0000B8040000}"/>
    <cellStyle name="40% - Accent2 3 2 3 2" xfId="3316" xr:uid="{00000000-0005-0000-0000-0000B9040000}"/>
    <cellStyle name="40% - Accent2 3 2 3 2 2" xfId="7538" xr:uid="{00000000-0005-0000-0000-0000BA040000}"/>
    <cellStyle name="40% - Accent2 3 2 3 2 2 2" xfId="15988" xr:uid="{A2DA1E2D-E98C-4908-B470-76059D327337}"/>
    <cellStyle name="40% - Accent2 3 2 3 2 3" xfId="11770" xr:uid="{075D2922-9E11-4564-83B8-2D577BA1C06A}"/>
    <cellStyle name="40% - Accent2 3 2 3 3" xfId="5393" xr:uid="{00000000-0005-0000-0000-0000BB040000}"/>
    <cellStyle name="40% - Accent2 3 2 3 3 2" xfId="13843" xr:uid="{D69DE1C2-01DD-4604-A696-6D51B1C6C7CE}"/>
    <cellStyle name="40% - Accent2 3 2 3 4" xfId="9625" xr:uid="{CA7679B2-3E42-46C8-859F-E5515451A634}"/>
    <cellStyle name="40% - Accent2 3 2 4" xfId="1499" xr:uid="{00000000-0005-0000-0000-0000BC040000}"/>
    <cellStyle name="40% - Accent2 3 2 4 2" xfId="3729" xr:uid="{00000000-0005-0000-0000-0000BD040000}"/>
    <cellStyle name="40% - Accent2 3 2 4 2 2" xfId="7951" xr:uid="{00000000-0005-0000-0000-0000BE040000}"/>
    <cellStyle name="40% - Accent2 3 2 4 2 2 2" xfId="16401" xr:uid="{21AB6222-0512-4458-9CC2-7DB23CFCCF20}"/>
    <cellStyle name="40% - Accent2 3 2 4 2 3" xfId="12183" xr:uid="{A9C1F7F3-B8C1-4717-AE00-84CAB05A0E42}"/>
    <cellStyle name="40% - Accent2 3 2 4 3" xfId="5806" xr:uid="{00000000-0005-0000-0000-0000BF040000}"/>
    <cellStyle name="40% - Accent2 3 2 4 3 2" xfId="14256" xr:uid="{88A2A312-9B25-451B-8361-008B9F221899}"/>
    <cellStyle name="40% - Accent2 3 2 4 4" xfId="10038" xr:uid="{5E5A9B20-53E2-4F37-94B5-55A9E2DADA64}"/>
    <cellStyle name="40% - Accent2 3 2 5" xfId="1913" xr:uid="{00000000-0005-0000-0000-0000C0040000}"/>
    <cellStyle name="40% - Accent2 3 2 5 2" xfId="4142" xr:uid="{00000000-0005-0000-0000-0000C1040000}"/>
    <cellStyle name="40% - Accent2 3 2 5 2 2" xfId="8364" xr:uid="{00000000-0005-0000-0000-0000C2040000}"/>
    <cellStyle name="40% - Accent2 3 2 5 2 2 2" xfId="16814" xr:uid="{552EC0FA-A9F6-4053-9E39-EF7468EFE63F}"/>
    <cellStyle name="40% - Accent2 3 2 5 2 3" xfId="12596" xr:uid="{6F6678BA-D343-480D-A88F-5A4CCFC95496}"/>
    <cellStyle name="40% - Accent2 3 2 5 3" xfId="6219" xr:uid="{00000000-0005-0000-0000-0000C3040000}"/>
    <cellStyle name="40% - Accent2 3 2 5 3 2" xfId="14669" xr:uid="{96AFCAE2-6231-485F-82A1-A01E4C790CDD}"/>
    <cellStyle name="40% - Accent2 3 2 5 4" xfId="10451" xr:uid="{6EF0BC64-BFE5-4992-90A6-CB1376A8E6AD}"/>
    <cellStyle name="40% - Accent2 3 2 6" xfId="2326" xr:uid="{00000000-0005-0000-0000-0000C4040000}"/>
    <cellStyle name="40% - Accent2 3 2 6 2" xfId="6632" xr:uid="{00000000-0005-0000-0000-0000C5040000}"/>
    <cellStyle name="40% - Accent2 3 2 6 2 2" xfId="15082" xr:uid="{A96A3E7F-1F3B-4B01-8015-18EDA31B1CE7}"/>
    <cellStyle name="40% - Accent2 3 2 6 3" xfId="10864" xr:uid="{320086A8-3C84-44B6-9A35-791338223257}"/>
    <cellStyle name="40% - Accent2 3 2 7" xfId="4566" xr:uid="{00000000-0005-0000-0000-0000C6040000}"/>
    <cellStyle name="40% - Accent2 3 2 7 2" xfId="13016" xr:uid="{C5F8AE81-92EE-4A65-9428-D83B48F934B3}"/>
    <cellStyle name="40% - Accent2 3 2 8" xfId="8798" xr:uid="{02CDEAA8-2597-460D-8DC0-BFC08958294A}"/>
    <cellStyle name="40% - Accent2 3 3" xfId="631" xr:uid="{00000000-0005-0000-0000-0000C7040000}"/>
    <cellStyle name="40% - Accent2 3 3 2" xfId="2902" xr:uid="{00000000-0005-0000-0000-0000C8040000}"/>
    <cellStyle name="40% - Accent2 3 3 2 2" xfId="7124" xr:uid="{00000000-0005-0000-0000-0000C9040000}"/>
    <cellStyle name="40% - Accent2 3 3 2 2 2" xfId="15574" xr:uid="{9D408EAD-AF74-4D9E-9532-BA1CF8DCD47E}"/>
    <cellStyle name="40% - Accent2 3 3 2 3" xfId="11356" xr:uid="{C36F1054-27ED-4383-A6E0-F87BC68E8658}"/>
    <cellStyle name="40% - Accent2 3 3 3" xfId="4979" xr:uid="{00000000-0005-0000-0000-0000CA040000}"/>
    <cellStyle name="40% - Accent2 3 3 3 2" xfId="13429" xr:uid="{C1740D75-DD5C-4B58-A7A0-862EC8EBF511}"/>
    <cellStyle name="40% - Accent2 3 3 4" xfId="9211" xr:uid="{30344579-9C78-40E5-8207-0A1F43C38341}"/>
    <cellStyle name="40% - Accent2 3 4" xfId="1084" xr:uid="{00000000-0005-0000-0000-0000CB040000}"/>
    <cellStyle name="40% - Accent2 3 4 2" xfId="3315" xr:uid="{00000000-0005-0000-0000-0000CC040000}"/>
    <cellStyle name="40% - Accent2 3 4 2 2" xfId="7537" xr:uid="{00000000-0005-0000-0000-0000CD040000}"/>
    <cellStyle name="40% - Accent2 3 4 2 2 2" xfId="15987" xr:uid="{CC3D45BE-8E18-4A5B-947A-448F1152A564}"/>
    <cellStyle name="40% - Accent2 3 4 2 3" xfId="11769" xr:uid="{857C9912-C627-437D-84EF-BFBF911392B9}"/>
    <cellStyle name="40% - Accent2 3 4 3" xfId="5392" xr:uid="{00000000-0005-0000-0000-0000CE040000}"/>
    <cellStyle name="40% - Accent2 3 4 3 2" xfId="13842" xr:uid="{28EF0553-67B2-4682-A39C-D121D8CEB02B}"/>
    <cellStyle name="40% - Accent2 3 4 4" xfId="9624" xr:uid="{9BD11FC3-4152-41B5-92EC-CF617033457C}"/>
    <cellStyle name="40% - Accent2 3 5" xfId="1498" xr:uid="{00000000-0005-0000-0000-0000CF040000}"/>
    <cellStyle name="40% - Accent2 3 5 2" xfId="3728" xr:uid="{00000000-0005-0000-0000-0000D0040000}"/>
    <cellStyle name="40% - Accent2 3 5 2 2" xfId="7950" xr:uid="{00000000-0005-0000-0000-0000D1040000}"/>
    <cellStyle name="40% - Accent2 3 5 2 2 2" xfId="16400" xr:uid="{6DD07E00-CE08-4DD7-8EEB-310E6E8F4674}"/>
    <cellStyle name="40% - Accent2 3 5 2 3" xfId="12182" xr:uid="{C62BE863-C16A-46F6-A037-DD6517783C73}"/>
    <cellStyle name="40% - Accent2 3 5 3" xfId="5805" xr:uid="{00000000-0005-0000-0000-0000D2040000}"/>
    <cellStyle name="40% - Accent2 3 5 3 2" xfId="14255" xr:uid="{5146FDF1-0735-44B9-83AB-6E905D60D98E}"/>
    <cellStyle name="40% - Accent2 3 5 4" xfId="10037" xr:uid="{A4E692C6-8D35-444F-9E7B-FEA294B200BB}"/>
    <cellStyle name="40% - Accent2 3 6" xfId="1912" xr:uid="{00000000-0005-0000-0000-0000D3040000}"/>
    <cellStyle name="40% - Accent2 3 6 2" xfId="4141" xr:uid="{00000000-0005-0000-0000-0000D4040000}"/>
    <cellStyle name="40% - Accent2 3 6 2 2" xfId="8363" xr:uid="{00000000-0005-0000-0000-0000D5040000}"/>
    <cellStyle name="40% - Accent2 3 6 2 2 2" xfId="16813" xr:uid="{E8B2E202-1633-4ABD-89EF-2B4E11E001C8}"/>
    <cellStyle name="40% - Accent2 3 6 2 3" xfId="12595" xr:uid="{974892E1-45C7-4261-B897-82128B7C77F4}"/>
    <cellStyle name="40% - Accent2 3 6 3" xfId="6218" xr:uid="{00000000-0005-0000-0000-0000D6040000}"/>
    <cellStyle name="40% - Accent2 3 6 3 2" xfId="14668" xr:uid="{A161746C-1389-4838-B63D-59132350FE6E}"/>
    <cellStyle name="40% - Accent2 3 6 4" xfId="10450" xr:uid="{78D1D4E8-B31C-4818-83CF-0F3E74956870}"/>
    <cellStyle name="40% - Accent2 3 7" xfId="2325" xr:uid="{00000000-0005-0000-0000-0000D7040000}"/>
    <cellStyle name="40% - Accent2 3 7 2" xfId="6631" xr:uid="{00000000-0005-0000-0000-0000D8040000}"/>
    <cellStyle name="40% - Accent2 3 7 2 2" xfId="15081" xr:uid="{66D1F187-532F-4276-89E7-C1C7E4B4CAD4}"/>
    <cellStyle name="40% - Accent2 3 7 3" xfId="10863" xr:uid="{3C3DFFEB-B566-49B4-9B3D-95EB4D6FABEA}"/>
    <cellStyle name="40% - Accent2 3 8" xfId="4565" xr:uid="{00000000-0005-0000-0000-0000D9040000}"/>
    <cellStyle name="40% - Accent2 3 8 2" xfId="13015" xr:uid="{B6C8CBF4-451A-462C-AEFB-DEF25086CB66}"/>
    <cellStyle name="40% - Accent2 3 9" xfId="8797" xr:uid="{DFFF703C-2576-457A-BAA9-C5CA4E847812}"/>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2 2 2" xfId="15576" xr:uid="{894DD0AB-9093-4647-A5D1-E16341776828}"/>
    <cellStyle name="40% - Accent2 4 2 2 3" xfId="11358" xr:uid="{FC309FF3-2807-4254-A0BB-91D361D0A6D3}"/>
    <cellStyle name="40% - Accent2 4 2 3" xfId="4981" xr:uid="{00000000-0005-0000-0000-0000DE040000}"/>
    <cellStyle name="40% - Accent2 4 2 3 2" xfId="13431" xr:uid="{74F014AB-B8F8-4A08-9912-74907D390037}"/>
    <cellStyle name="40% - Accent2 4 2 4" xfId="9213" xr:uid="{D46D047F-2ACD-4406-B171-54F62AE41188}"/>
    <cellStyle name="40% - Accent2 4 3" xfId="1086" xr:uid="{00000000-0005-0000-0000-0000DF040000}"/>
    <cellStyle name="40% - Accent2 4 3 2" xfId="3317" xr:uid="{00000000-0005-0000-0000-0000E0040000}"/>
    <cellStyle name="40% - Accent2 4 3 2 2" xfId="7539" xr:uid="{00000000-0005-0000-0000-0000E1040000}"/>
    <cellStyle name="40% - Accent2 4 3 2 2 2" xfId="15989" xr:uid="{2FDD1548-58B6-4054-B642-B70DA610A24B}"/>
    <cellStyle name="40% - Accent2 4 3 2 3" xfId="11771" xr:uid="{ACC94AF2-230C-4B2B-BF3F-82F4E4ED6A39}"/>
    <cellStyle name="40% - Accent2 4 3 3" xfId="5394" xr:uid="{00000000-0005-0000-0000-0000E2040000}"/>
    <cellStyle name="40% - Accent2 4 3 3 2" xfId="13844" xr:uid="{6E9AB06E-3DC2-4B83-847A-798ADCF61659}"/>
    <cellStyle name="40% - Accent2 4 3 4" xfId="9626" xr:uid="{F3A1BBCC-6F50-4F88-817C-A2222F955DD4}"/>
    <cellStyle name="40% - Accent2 4 4" xfId="1500" xr:uid="{00000000-0005-0000-0000-0000E3040000}"/>
    <cellStyle name="40% - Accent2 4 4 2" xfId="3730" xr:uid="{00000000-0005-0000-0000-0000E4040000}"/>
    <cellStyle name="40% - Accent2 4 4 2 2" xfId="7952" xr:uid="{00000000-0005-0000-0000-0000E5040000}"/>
    <cellStyle name="40% - Accent2 4 4 2 2 2" xfId="16402" xr:uid="{882DD29D-C611-4361-AC46-74E06C4B4816}"/>
    <cellStyle name="40% - Accent2 4 4 2 3" xfId="12184" xr:uid="{E8494BEB-7460-4FBA-B513-02F661EDACE6}"/>
    <cellStyle name="40% - Accent2 4 4 3" xfId="5807" xr:uid="{00000000-0005-0000-0000-0000E6040000}"/>
    <cellStyle name="40% - Accent2 4 4 3 2" xfId="14257" xr:uid="{AE7A97AF-2BDE-441B-BE7E-95A0E644C645}"/>
    <cellStyle name="40% - Accent2 4 4 4" xfId="10039" xr:uid="{76332EF5-A0DC-4CF5-A294-1D973682236D}"/>
    <cellStyle name="40% - Accent2 4 5" xfId="1914" xr:uid="{00000000-0005-0000-0000-0000E7040000}"/>
    <cellStyle name="40% - Accent2 4 5 2" xfId="4143" xr:uid="{00000000-0005-0000-0000-0000E8040000}"/>
    <cellStyle name="40% - Accent2 4 5 2 2" xfId="8365" xr:uid="{00000000-0005-0000-0000-0000E9040000}"/>
    <cellStyle name="40% - Accent2 4 5 2 2 2" xfId="16815" xr:uid="{0DAC8834-50C0-4FE0-8527-60D3FE47316B}"/>
    <cellStyle name="40% - Accent2 4 5 2 3" xfId="12597" xr:uid="{2A82DCA7-9A47-47D4-B5CB-6ABDBA9D7CA7}"/>
    <cellStyle name="40% - Accent2 4 5 3" xfId="6220" xr:uid="{00000000-0005-0000-0000-0000EA040000}"/>
    <cellStyle name="40% - Accent2 4 5 3 2" xfId="14670" xr:uid="{F66634E8-325E-4A8B-A40A-4CE4830B6ADD}"/>
    <cellStyle name="40% - Accent2 4 5 4" xfId="10452" xr:uid="{6706EB3C-E3B9-41C0-83D2-EF9A06D36CB6}"/>
    <cellStyle name="40% - Accent2 4 6" xfId="2327" xr:uid="{00000000-0005-0000-0000-0000EB040000}"/>
    <cellStyle name="40% - Accent2 4 6 2" xfId="6633" xr:uid="{00000000-0005-0000-0000-0000EC040000}"/>
    <cellStyle name="40% - Accent2 4 6 2 2" xfId="15083" xr:uid="{26D908D4-5D0A-4DCD-8085-F35A57D070A4}"/>
    <cellStyle name="40% - Accent2 4 6 3" xfId="10865" xr:uid="{E4D3C558-3362-49FD-A945-111710EDBAE6}"/>
    <cellStyle name="40% - Accent2 4 7" xfId="4567" xr:uid="{00000000-0005-0000-0000-0000ED040000}"/>
    <cellStyle name="40% - Accent2 4 7 2" xfId="13017" xr:uid="{1DDD1C3B-2B52-4AC1-81FA-FB204F412A30}"/>
    <cellStyle name="40% - Accent2 4 8" xfId="8799" xr:uid="{58C05EBD-64C7-4CA4-BC51-F9FEA35D93EB}"/>
    <cellStyle name="40% - Accent2 5" xfId="626" xr:uid="{00000000-0005-0000-0000-0000EE040000}"/>
    <cellStyle name="40% - Accent2 5 2" xfId="2897" xr:uid="{00000000-0005-0000-0000-0000EF040000}"/>
    <cellStyle name="40% - Accent2 5 2 2" xfId="7119" xr:uid="{00000000-0005-0000-0000-0000F0040000}"/>
    <cellStyle name="40% - Accent2 5 2 2 2" xfId="15569" xr:uid="{23B8415E-870C-4692-91E6-73DF08420B36}"/>
    <cellStyle name="40% - Accent2 5 2 3" xfId="11351" xr:uid="{396E5855-40BA-48E8-9609-CDB9ED1D5202}"/>
    <cellStyle name="40% - Accent2 5 3" xfId="4974" xr:uid="{00000000-0005-0000-0000-0000F1040000}"/>
    <cellStyle name="40% - Accent2 5 3 2" xfId="13424" xr:uid="{727025F9-7C02-4679-83C5-09E711B524DA}"/>
    <cellStyle name="40% - Accent2 5 4" xfId="9206" xr:uid="{51AF20A1-1D41-4CF9-886E-818928F144DC}"/>
    <cellStyle name="40% - Accent2 6" xfId="1079" xr:uid="{00000000-0005-0000-0000-0000F2040000}"/>
    <cellStyle name="40% - Accent2 6 2" xfId="3310" xr:uid="{00000000-0005-0000-0000-0000F3040000}"/>
    <cellStyle name="40% - Accent2 6 2 2" xfId="7532" xr:uid="{00000000-0005-0000-0000-0000F4040000}"/>
    <cellStyle name="40% - Accent2 6 2 2 2" xfId="15982" xr:uid="{7C945B40-5CAC-46FE-A96F-5E61F7D8CF5B}"/>
    <cellStyle name="40% - Accent2 6 2 3" xfId="11764" xr:uid="{73A7A8C2-C7D0-499B-920A-E2DCDECC4AF8}"/>
    <cellStyle name="40% - Accent2 6 3" xfId="5387" xr:uid="{00000000-0005-0000-0000-0000F5040000}"/>
    <cellStyle name="40% - Accent2 6 3 2" xfId="13837" xr:uid="{9FFBD671-14B1-423F-AE3C-9A0D5D3C319B}"/>
    <cellStyle name="40% - Accent2 6 4" xfId="9619" xr:uid="{37E7003E-28DD-4F83-827E-3E5B761A9B75}"/>
    <cellStyle name="40% - Accent2 7" xfId="1493" xr:uid="{00000000-0005-0000-0000-0000F6040000}"/>
    <cellStyle name="40% - Accent2 7 2" xfId="3723" xr:uid="{00000000-0005-0000-0000-0000F7040000}"/>
    <cellStyle name="40% - Accent2 7 2 2" xfId="7945" xr:uid="{00000000-0005-0000-0000-0000F8040000}"/>
    <cellStyle name="40% - Accent2 7 2 2 2" xfId="16395" xr:uid="{3169B02D-C081-436C-B639-707876FB2304}"/>
    <cellStyle name="40% - Accent2 7 2 3" xfId="12177" xr:uid="{0FB4B9F0-54AC-4F3B-98D4-3CE1FDEB0669}"/>
    <cellStyle name="40% - Accent2 7 3" xfId="5800" xr:uid="{00000000-0005-0000-0000-0000F9040000}"/>
    <cellStyle name="40% - Accent2 7 3 2" xfId="14250" xr:uid="{96413D28-DB56-4893-83C0-BFF66F459A64}"/>
    <cellStyle name="40% - Accent2 7 4" xfId="10032" xr:uid="{A46A0A00-1FC0-4676-AF73-D149C4DEC082}"/>
    <cellStyle name="40% - Accent2 8" xfId="1907" xr:uid="{00000000-0005-0000-0000-0000FA040000}"/>
    <cellStyle name="40% - Accent2 8 2" xfId="4136" xr:uid="{00000000-0005-0000-0000-0000FB040000}"/>
    <cellStyle name="40% - Accent2 8 2 2" xfId="8358" xr:uid="{00000000-0005-0000-0000-0000FC040000}"/>
    <cellStyle name="40% - Accent2 8 2 2 2" xfId="16808" xr:uid="{367B491E-7824-4FA4-8D75-1462F2EBEB17}"/>
    <cellStyle name="40% - Accent2 8 2 3" xfId="12590" xr:uid="{D0B595DC-DC42-414E-ACA7-61AA54E367C4}"/>
    <cellStyle name="40% - Accent2 8 3" xfId="6213" xr:uid="{00000000-0005-0000-0000-0000FD040000}"/>
    <cellStyle name="40% - Accent2 8 3 2" xfId="14663" xr:uid="{E7C0CF75-4AC7-4302-B70F-9CB910A8B778}"/>
    <cellStyle name="40% - Accent2 8 4" xfId="10445" xr:uid="{75BC78C7-7A82-4864-A68A-C425FBA419AC}"/>
    <cellStyle name="40% - Accent2 9" xfId="2320" xr:uid="{00000000-0005-0000-0000-0000FE040000}"/>
    <cellStyle name="40% - Accent2 9 2" xfId="6626" xr:uid="{00000000-0005-0000-0000-0000FF040000}"/>
    <cellStyle name="40% - Accent2 9 2 2" xfId="15076" xr:uid="{FE33A7B3-DCB6-4125-9410-D47AD29413F7}"/>
    <cellStyle name="40% - Accent2 9 3" xfId="10858" xr:uid="{8703F7FA-C5F5-4AF5-8478-EFB606292AF7}"/>
    <cellStyle name="40% - Accent3" xfId="65" builtinId="39" customBuiltin="1"/>
    <cellStyle name="40% - Accent3 10" xfId="4568" xr:uid="{00000000-0005-0000-0000-000001050000}"/>
    <cellStyle name="40% - Accent3 10 2" xfId="13018" xr:uid="{4EEB4087-103A-4B50-BDA0-4D4082E80A05}"/>
    <cellStyle name="40% - Accent3 11" xfId="8800" xr:uid="{82C63EF0-CCDD-45AB-B465-8CF6812F3EEF}"/>
    <cellStyle name="40% - Accent3 2" xfId="66" xr:uid="{00000000-0005-0000-0000-000002050000}"/>
    <cellStyle name="40% - Accent3 2 10" xfId="8801" xr:uid="{6C5F58B4-CF66-4344-8DC5-C32F04E7E153}"/>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2 2 2" xfId="15580" xr:uid="{E9EEDCCB-6ED3-44B5-AC52-5BF219E2E3DF}"/>
    <cellStyle name="40% - Accent3 2 2 2 2 2 3" xfId="11362" xr:uid="{B7FB67E6-AF08-4E76-83D0-9D7DC9D2F86B}"/>
    <cellStyle name="40% - Accent3 2 2 2 2 3" xfId="4985" xr:uid="{00000000-0005-0000-0000-000008050000}"/>
    <cellStyle name="40% - Accent3 2 2 2 2 3 2" xfId="13435" xr:uid="{21042961-D11D-49B6-897D-623ABBA512B4}"/>
    <cellStyle name="40% - Accent3 2 2 2 2 4" xfId="9217" xr:uid="{D7ECD32B-2EAF-4CAE-8791-93CBD33231EB}"/>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2 2 2" xfId="15993" xr:uid="{EF864018-47A3-4DF4-8980-2B95B29B89DF}"/>
    <cellStyle name="40% - Accent3 2 2 2 3 2 3" xfId="11775" xr:uid="{8E0E7D09-DD0C-44BC-929D-8251F5AEE79F}"/>
    <cellStyle name="40% - Accent3 2 2 2 3 3" xfId="5398" xr:uid="{00000000-0005-0000-0000-00000C050000}"/>
    <cellStyle name="40% - Accent3 2 2 2 3 3 2" xfId="13848" xr:uid="{E2FDC025-CC29-4E12-9056-AD866A9D6941}"/>
    <cellStyle name="40% - Accent3 2 2 2 3 4" xfId="9630" xr:uid="{A5C8AA41-A7A9-4306-8A29-E6898441F3F9}"/>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2 2 2" xfId="16406" xr:uid="{5A629940-6847-4CFA-8B93-1947B54FDD3D}"/>
    <cellStyle name="40% - Accent3 2 2 2 4 2 3" xfId="12188" xr:uid="{C4DAAB15-B8F7-4EBA-BD94-85A7E288E3F7}"/>
    <cellStyle name="40% - Accent3 2 2 2 4 3" xfId="5811" xr:uid="{00000000-0005-0000-0000-000010050000}"/>
    <cellStyle name="40% - Accent3 2 2 2 4 3 2" xfId="14261" xr:uid="{787E5C34-7DE0-4DB9-890B-2DED9C0CA0FD}"/>
    <cellStyle name="40% - Accent3 2 2 2 4 4" xfId="10043" xr:uid="{6683F3CB-03ED-48F3-9871-1026492BDBA5}"/>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2 2 2" xfId="16819" xr:uid="{4726E6AE-AF10-4A9B-9307-12C5DFC6CE0C}"/>
    <cellStyle name="40% - Accent3 2 2 2 5 2 3" xfId="12601" xr:uid="{C137C860-5847-4943-B7FC-664BDE6B6B4B}"/>
    <cellStyle name="40% - Accent3 2 2 2 5 3" xfId="6224" xr:uid="{00000000-0005-0000-0000-000014050000}"/>
    <cellStyle name="40% - Accent3 2 2 2 5 3 2" xfId="14674" xr:uid="{CE8FD08C-7F32-40CD-B6FC-5D4C8BBD9CE9}"/>
    <cellStyle name="40% - Accent3 2 2 2 5 4" xfId="10456" xr:uid="{DBEBBE02-AA30-4FD8-A58F-F8C7E1EEF178}"/>
    <cellStyle name="40% - Accent3 2 2 2 6" xfId="2331" xr:uid="{00000000-0005-0000-0000-000015050000}"/>
    <cellStyle name="40% - Accent3 2 2 2 6 2" xfId="6637" xr:uid="{00000000-0005-0000-0000-000016050000}"/>
    <cellStyle name="40% - Accent3 2 2 2 6 2 2" xfId="15087" xr:uid="{56C33FE4-BB5E-44E2-A938-04E0646BEBEA}"/>
    <cellStyle name="40% - Accent3 2 2 2 6 3" xfId="10869" xr:uid="{3BF51CB1-AEFB-4737-BBB7-80676AD1624D}"/>
    <cellStyle name="40% - Accent3 2 2 2 7" xfId="4571" xr:uid="{00000000-0005-0000-0000-000017050000}"/>
    <cellStyle name="40% - Accent3 2 2 2 7 2" xfId="13021" xr:uid="{C4E86A69-9966-40FE-A5ED-7ADD002FE89C}"/>
    <cellStyle name="40% - Accent3 2 2 2 8" xfId="8803" xr:uid="{8B244BD1-323F-48E7-8F34-C63ED191A532}"/>
    <cellStyle name="40% - Accent3 2 2 3" xfId="636" xr:uid="{00000000-0005-0000-0000-000018050000}"/>
    <cellStyle name="40% - Accent3 2 2 3 2" xfId="2907" xr:uid="{00000000-0005-0000-0000-000019050000}"/>
    <cellStyle name="40% - Accent3 2 2 3 2 2" xfId="7129" xr:uid="{00000000-0005-0000-0000-00001A050000}"/>
    <cellStyle name="40% - Accent3 2 2 3 2 2 2" xfId="15579" xr:uid="{97E0B00B-B464-4DB5-8F55-DF54DE8E62D5}"/>
    <cellStyle name="40% - Accent3 2 2 3 2 3" xfId="11361" xr:uid="{7FA9CF3B-45FE-4150-814D-5E1205A22B40}"/>
    <cellStyle name="40% - Accent3 2 2 3 3" xfId="4984" xr:uid="{00000000-0005-0000-0000-00001B050000}"/>
    <cellStyle name="40% - Accent3 2 2 3 3 2" xfId="13434" xr:uid="{5FC86EFD-0250-4D52-82D9-1E971AB1E0FE}"/>
    <cellStyle name="40% - Accent3 2 2 3 4" xfId="9216" xr:uid="{9D53AA31-F203-418E-B6CC-6D5B55E9B5C5}"/>
    <cellStyle name="40% - Accent3 2 2 4" xfId="1089" xr:uid="{00000000-0005-0000-0000-00001C050000}"/>
    <cellStyle name="40% - Accent3 2 2 4 2" xfId="3320" xr:uid="{00000000-0005-0000-0000-00001D050000}"/>
    <cellStyle name="40% - Accent3 2 2 4 2 2" xfId="7542" xr:uid="{00000000-0005-0000-0000-00001E050000}"/>
    <cellStyle name="40% - Accent3 2 2 4 2 2 2" xfId="15992" xr:uid="{F029EAB5-624F-4013-83F7-D4517D45170E}"/>
    <cellStyle name="40% - Accent3 2 2 4 2 3" xfId="11774" xr:uid="{E76E4C7F-81B3-48E6-8500-A92B901D0D33}"/>
    <cellStyle name="40% - Accent3 2 2 4 3" xfId="5397" xr:uid="{00000000-0005-0000-0000-00001F050000}"/>
    <cellStyle name="40% - Accent3 2 2 4 3 2" xfId="13847" xr:uid="{DE38DCCE-460F-4533-BA14-F0F5C6318CBD}"/>
    <cellStyle name="40% - Accent3 2 2 4 4" xfId="9629" xr:uid="{92BC1F71-4B20-4D90-88B8-E3E4ADA74BD6}"/>
    <cellStyle name="40% - Accent3 2 2 5" xfId="1503" xr:uid="{00000000-0005-0000-0000-000020050000}"/>
    <cellStyle name="40% - Accent3 2 2 5 2" xfId="3733" xr:uid="{00000000-0005-0000-0000-000021050000}"/>
    <cellStyle name="40% - Accent3 2 2 5 2 2" xfId="7955" xr:uid="{00000000-0005-0000-0000-000022050000}"/>
    <cellStyle name="40% - Accent3 2 2 5 2 2 2" xfId="16405" xr:uid="{D770B9E9-146F-404A-8B9E-E2C7841E81E4}"/>
    <cellStyle name="40% - Accent3 2 2 5 2 3" xfId="12187" xr:uid="{F08122FB-05EE-453E-8A47-06904E9B9CC8}"/>
    <cellStyle name="40% - Accent3 2 2 5 3" xfId="5810" xr:uid="{00000000-0005-0000-0000-000023050000}"/>
    <cellStyle name="40% - Accent3 2 2 5 3 2" xfId="14260" xr:uid="{45068BEF-2D16-44A6-A76F-E2D443B7D054}"/>
    <cellStyle name="40% - Accent3 2 2 5 4" xfId="10042" xr:uid="{EFA81075-0CD0-4CDE-B961-203941C11317}"/>
    <cellStyle name="40% - Accent3 2 2 6" xfId="1917" xr:uid="{00000000-0005-0000-0000-000024050000}"/>
    <cellStyle name="40% - Accent3 2 2 6 2" xfId="4146" xr:uid="{00000000-0005-0000-0000-000025050000}"/>
    <cellStyle name="40% - Accent3 2 2 6 2 2" xfId="8368" xr:uid="{00000000-0005-0000-0000-000026050000}"/>
    <cellStyle name="40% - Accent3 2 2 6 2 2 2" xfId="16818" xr:uid="{C41BBDB5-F0E5-45E7-A4EF-280CA1DEC6B9}"/>
    <cellStyle name="40% - Accent3 2 2 6 2 3" xfId="12600" xr:uid="{239FD407-853A-4F6E-AD4D-2E7355F9ED1E}"/>
    <cellStyle name="40% - Accent3 2 2 6 3" xfId="6223" xr:uid="{00000000-0005-0000-0000-000027050000}"/>
    <cellStyle name="40% - Accent3 2 2 6 3 2" xfId="14673" xr:uid="{B4F2C0E1-7033-42D5-9710-1701DD28BF12}"/>
    <cellStyle name="40% - Accent3 2 2 6 4" xfId="10455" xr:uid="{2849F5CD-AEB0-458B-84EC-DA59D0627C19}"/>
    <cellStyle name="40% - Accent3 2 2 7" xfId="2330" xr:uid="{00000000-0005-0000-0000-000028050000}"/>
    <cellStyle name="40% - Accent3 2 2 7 2" xfId="6636" xr:uid="{00000000-0005-0000-0000-000029050000}"/>
    <cellStyle name="40% - Accent3 2 2 7 2 2" xfId="15086" xr:uid="{B39CC18F-0E6B-4951-950C-BA798E7FF536}"/>
    <cellStyle name="40% - Accent3 2 2 7 3" xfId="10868" xr:uid="{D1295D89-7140-40F1-8461-3026BB0F3608}"/>
    <cellStyle name="40% - Accent3 2 2 8" xfId="4570" xr:uid="{00000000-0005-0000-0000-00002A050000}"/>
    <cellStyle name="40% - Accent3 2 2 8 2" xfId="13020" xr:uid="{C9781503-F8B9-4737-976C-1ABD5D4AFB1A}"/>
    <cellStyle name="40% - Accent3 2 2 9" xfId="8802" xr:uid="{5CB5DAA8-98B8-48F9-86DF-95D09F39A0F5}"/>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2 2 2" xfId="15581" xr:uid="{D5866D1C-AA19-4AE8-9948-258E0CBBE8D8}"/>
    <cellStyle name="40% - Accent3 2 3 2 2 3" xfId="11363" xr:uid="{4547075E-0D75-4318-9D12-C5512E6E44CD}"/>
    <cellStyle name="40% - Accent3 2 3 2 3" xfId="4986" xr:uid="{00000000-0005-0000-0000-00002F050000}"/>
    <cellStyle name="40% - Accent3 2 3 2 3 2" xfId="13436" xr:uid="{A22C3F40-C7CA-4F4B-BE6D-C591F12552E8}"/>
    <cellStyle name="40% - Accent3 2 3 2 4" xfId="9218" xr:uid="{4C72AB3F-C7F2-4B08-831D-66D669DEE26B}"/>
    <cellStyle name="40% - Accent3 2 3 3" xfId="1091" xr:uid="{00000000-0005-0000-0000-000030050000}"/>
    <cellStyle name="40% - Accent3 2 3 3 2" xfId="3322" xr:uid="{00000000-0005-0000-0000-000031050000}"/>
    <cellStyle name="40% - Accent3 2 3 3 2 2" xfId="7544" xr:uid="{00000000-0005-0000-0000-000032050000}"/>
    <cellStyle name="40% - Accent3 2 3 3 2 2 2" xfId="15994" xr:uid="{F93768CE-A75C-475B-8BD1-1AE690D2B3C4}"/>
    <cellStyle name="40% - Accent3 2 3 3 2 3" xfId="11776" xr:uid="{8FEC9409-B636-42F9-A110-631DF27BCE5D}"/>
    <cellStyle name="40% - Accent3 2 3 3 3" xfId="5399" xr:uid="{00000000-0005-0000-0000-000033050000}"/>
    <cellStyle name="40% - Accent3 2 3 3 3 2" xfId="13849" xr:uid="{71FA72A7-6872-4F56-875F-77B92D74F717}"/>
    <cellStyle name="40% - Accent3 2 3 3 4" xfId="9631" xr:uid="{2FA84F4D-D4E2-4588-9E9B-FE24199C9617}"/>
    <cellStyle name="40% - Accent3 2 3 4" xfId="1505" xr:uid="{00000000-0005-0000-0000-000034050000}"/>
    <cellStyle name="40% - Accent3 2 3 4 2" xfId="3735" xr:uid="{00000000-0005-0000-0000-000035050000}"/>
    <cellStyle name="40% - Accent3 2 3 4 2 2" xfId="7957" xr:uid="{00000000-0005-0000-0000-000036050000}"/>
    <cellStyle name="40% - Accent3 2 3 4 2 2 2" xfId="16407" xr:uid="{388B8335-C106-4651-8F0D-4F0AF9CA530A}"/>
    <cellStyle name="40% - Accent3 2 3 4 2 3" xfId="12189" xr:uid="{FB5C56AC-EA9C-4F6E-A386-10163666BD4A}"/>
    <cellStyle name="40% - Accent3 2 3 4 3" xfId="5812" xr:uid="{00000000-0005-0000-0000-000037050000}"/>
    <cellStyle name="40% - Accent3 2 3 4 3 2" xfId="14262" xr:uid="{EA0FB615-2926-4B61-9C48-B1F93B14E620}"/>
    <cellStyle name="40% - Accent3 2 3 4 4" xfId="10044" xr:uid="{B8C5C2F3-0255-4F96-B418-CD72D733F6EE}"/>
    <cellStyle name="40% - Accent3 2 3 5" xfId="1919" xr:uid="{00000000-0005-0000-0000-000038050000}"/>
    <cellStyle name="40% - Accent3 2 3 5 2" xfId="4148" xr:uid="{00000000-0005-0000-0000-000039050000}"/>
    <cellStyle name="40% - Accent3 2 3 5 2 2" xfId="8370" xr:uid="{00000000-0005-0000-0000-00003A050000}"/>
    <cellStyle name="40% - Accent3 2 3 5 2 2 2" xfId="16820" xr:uid="{B13706AE-1D5A-43D3-902B-D4AC0F38B447}"/>
    <cellStyle name="40% - Accent3 2 3 5 2 3" xfId="12602" xr:uid="{D4D177A6-2C1A-4051-9094-2559F1EE32EC}"/>
    <cellStyle name="40% - Accent3 2 3 5 3" xfId="6225" xr:uid="{00000000-0005-0000-0000-00003B050000}"/>
    <cellStyle name="40% - Accent3 2 3 5 3 2" xfId="14675" xr:uid="{ABC01628-2F73-4D3A-8712-251F11CF1662}"/>
    <cellStyle name="40% - Accent3 2 3 5 4" xfId="10457" xr:uid="{463B12E4-633A-4135-A568-F52D23B1977C}"/>
    <cellStyle name="40% - Accent3 2 3 6" xfId="2332" xr:uid="{00000000-0005-0000-0000-00003C050000}"/>
    <cellStyle name="40% - Accent3 2 3 6 2" xfId="6638" xr:uid="{00000000-0005-0000-0000-00003D050000}"/>
    <cellStyle name="40% - Accent3 2 3 6 2 2" xfId="15088" xr:uid="{8C1DA439-C0FA-4B30-B687-6B8F2D3DF580}"/>
    <cellStyle name="40% - Accent3 2 3 6 3" xfId="10870" xr:uid="{0DC12749-1AE5-4258-B5A4-003C913C7B18}"/>
    <cellStyle name="40% - Accent3 2 3 7" xfId="4572" xr:uid="{00000000-0005-0000-0000-00003E050000}"/>
    <cellStyle name="40% - Accent3 2 3 7 2" xfId="13022" xr:uid="{D7D8C02E-7B70-445C-88D9-3208D149D1D3}"/>
    <cellStyle name="40% - Accent3 2 3 8" xfId="8804" xr:uid="{B6AA397F-B85D-464D-AFFD-D9DE68D614C3}"/>
    <cellStyle name="40% - Accent3 2 4" xfId="635" xr:uid="{00000000-0005-0000-0000-00003F050000}"/>
    <cellStyle name="40% - Accent3 2 4 2" xfId="2906" xr:uid="{00000000-0005-0000-0000-000040050000}"/>
    <cellStyle name="40% - Accent3 2 4 2 2" xfId="7128" xr:uid="{00000000-0005-0000-0000-000041050000}"/>
    <cellStyle name="40% - Accent3 2 4 2 2 2" xfId="15578" xr:uid="{1074273D-7D9B-4201-999E-016F1FE5F2C6}"/>
    <cellStyle name="40% - Accent3 2 4 2 3" xfId="11360" xr:uid="{B307B43A-7EFC-41AD-981A-A89A52B7A8F5}"/>
    <cellStyle name="40% - Accent3 2 4 3" xfId="4983" xr:uid="{00000000-0005-0000-0000-000042050000}"/>
    <cellStyle name="40% - Accent3 2 4 3 2" xfId="13433" xr:uid="{94011AA0-2A9A-4F91-ACC1-2F6DF2EFEFCA}"/>
    <cellStyle name="40% - Accent3 2 4 4" xfId="9215" xr:uid="{651AB7EF-C11F-4D64-9C6E-667C967E276A}"/>
    <cellStyle name="40% - Accent3 2 5" xfId="1088" xr:uid="{00000000-0005-0000-0000-000043050000}"/>
    <cellStyle name="40% - Accent3 2 5 2" xfId="3319" xr:uid="{00000000-0005-0000-0000-000044050000}"/>
    <cellStyle name="40% - Accent3 2 5 2 2" xfId="7541" xr:uid="{00000000-0005-0000-0000-000045050000}"/>
    <cellStyle name="40% - Accent3 2 5 2 2 2" xfId="15991" xr:uid="{D0817A28-5BD7-41D3-A9A4-AEFDDC3C391F}"/>
    <cellStyle name="40% - Accent3 2 5 2 3" xfId="11773" xr:uid="{DAF75B3D-782C-4E2F-AA7D-9459A6CADC3D}"/>
    <cellStyle name="40% - Accent3 2 5 3" xfId="5396" xr:uid="{00000000-0005-0000-0000-000046050000}"/>
    <cellStyle name="40% - Accent3 2 5 3 2" xfId="13846" xr:uid="{994A5C6D-F0EF-41D0-B1E6-10172B7CD48D}"/>
    <cellStyle name="40% - Accent3 2 5 4" xfId="9628" xr:uid="{86D5F4B2-0800-405F-BF36-37AB24187B4C}"/>
    <cellStyle name="40% - Accent3 2 6" xfId="1502" xr:uid="{00000000-0005-0000-0000-000047050000}"/>
    <cellStyle name="40% - Accent3 2 6 2" xfId="3732" xr:uid="{00000000-0005-0000-0000-000048050000}"/>
    <cellStyle name="40% - Accent3 2 6 2 2" xfId="7954" xr:uid="{00000000-0005-0000-0000-000049050000}"/>
    <cellStyle name="40% - Accent3 2 6 2 2 2" xfId="16404" xr:uid="{D0024A42-4D2C-4401-8067-15CC1F235870}"/>
    <cellStyle name="40% - Accent3 2 6 2 3" xfId="12186" xr:uid="{795F66A1-F9C1-46BE-9CDF-5B88605DE1F9}"/>
    <cellStyle name="40% - Accent3 2 6 3" xfId="5809" xr:uid="{00000000-0005-0000-0000-00004A050000}"/>
    <cellStyle name="40% - Accent3 2 6 3 2" xfId="14259" xr:uid="{E23710E1-FBA0-4AC7-BB47-5F8DC3739145}"/>
    <cellStyle name="40% - Accent3 2 6 4" xfId="10041" xr:uid="{76F9AEE7-08A0-47CA-AF72-EEAB2F8F1FA1}"/>
    <cellStyle name="40% - Accent3 2 7" xfId="1916" xr:uid="{00000000-0005-0000-0000-00004B050000}"/>
    <cellStyle name="40% - Accent3 2 7 2" xfId="4145" xr:uid="{00000000-0005-0000-0000-00004C050000}"/>
    <cellStyle name="40% - Accent3 2 7 2 2" xfId="8367" xr:uid="{00000000-0005-0000-0000-00004D050000}"/>
    <cellStyle name="40% - Accent3 2 7 2 2 2" xfId="16817" xr:uid="{C060C9AF-949E-4DF4-A0CE-0B633A3382FF}"/>
    <cellStyle name="40% - Accent3 2 7 2 3" xfId="12599" xr:uid="{204C8057-0450-41D9-984B-C3FE5EF30C8E}"/>
    <cellStyle name="40% - Accent3 2 7 3" xfId="6222" xr:uid="{00000000-0005-0000-0000-00004E050000}"/>
    <cellStyle name="40% - Accent3 2 7 3 2" xfId="14672" xr:uid="{1735A194-5BEF-450B-A8DE-361FB27B53FC}"/>
    <cellStyle name="40% - Accent3 2 7 4" xfId="10454" xr:uid="{96147967-C16A-4AEB-8D7A-D952ED701752}"/>
    <cellStyle name="40% - Accent3 2 8" xfId="2329" xr:uid="{00000000-0005-0000-0000-00004F050000}"/>
    <cellStyle name="40% - Accent3 2 8 2" xfId="6635" xr:uid="{00000000-0005-0000-0000-000050050000}"/>
    <cellStyle name="40% - Accent3 2 8 2 2" xfId="15085" xr:uid="{3F8CA5B0-0B69-4D86-BCF7-9A0DE6D93E7C}"/>
    <cellStyle name="40% - Accent3 2 8 3" xfId="10867" xr:uid="{92AA1173-E604-4728-8F51-E064F4650F5C}"/>
    <cellStyle name="40% - Accent3 2 9" xfId="4569" xr:uid="{00000000-0005-0000-0000-000051050000}"/>
    <cellStyle name="40% - Accent3 2 9 2" xfId="13019" xr:uid="{818DAF60-91A3-4605-A71E-72AF2AEBEC1F}"/>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2 2 2" xfId="15583" xr:uid="{38FB81C8-8B9C-49E5-9B3F-88D3DE52A461}"/>
    <cellStyle name="40% - Accent3 3 2 2 2 3" xfId="11365" xr:uid="{0B4A0E4F-C01C-403B-B231-70002FAD533E}"/>
    <cellStyle name="40% - Accent3 3 2 2 3" xfId="4988" xr:uid="{00000000-0005-0000-0000-000057050000}"/>
    <cellStyle name="40% - Accent3 3 2 2 3 2" xfId="13438" xr:uid="{1AE4406C-2A4A-4A15-A479-D74D18B52396}"/>
    <cellStyle name="40% - Accent3 3 2 2 4" xfId="9220" xr:uid="{582047D2-22CC-4A6C-B20A-35A37A009B11}"/>
    <cellStyle name="40% - Accent3 3 2 3" xfId="1093" xr:uid="{00000000-0005-0000-0000-000058050000}"/>
    <cellStyle name="40% - Accent3 3 2 3 2" xfId="3324" xr:uid="{00000000-0005-0000-0000-000059050000}"/>
    <cellStyle name="40% - Accent3 3 2 3 2 2" xfId="7546" xr:uid="{00000000-0005-0000-0000-00005A050000}"/>
    <cellStyle name="40% - Accent3 3 2 3 2 2 2" xfId="15996" xr:uid="{C5C950CB-C58E-4B62-827C-ADDCB15507E3}"/>
    <cellStyle name="40% - Accent3 3 2 3 2 3" xfId="11778" xr:uid="{B3FBA021-6A3E-4B7B-9DE4-1D5E2C3B1EFC}"/>
    <cellStyle name="40% - Accent3 3 2 3 3" xfId="5401" xr:uid="{00000000-0005-0000-0000-00005B050000}"/>
    <cellStyle name="40% - Accent3 3 2 3 3 2" xfId="13851" xr:uid="{EB5167F8-C36F-49B3-85DF-E0C1E0338C3A}"/>
    <cellStyle name="40% - Accent3 3 2 3 4" xfId="9633" xr:uid="{CB204E93-16B1-4ABE-9CF1-2000B2684C73}"/>
    <cellStyle name="40% - Accent3 3 2 4" xfId="1507" xr:uid="{00000000-0005-0000-0000-00005C050000}"/>
    <cellStyle name="40% - Accent3 3 2 4 2" xfId="3737" xr:uid="{00000000-0005-0000-0000-00005D050000}"/>
    <cellStyle name="40% - Accent3 3 2 4 2 2" xfId="7959" xr:uid="{00000000-0005-0000-0000-00005E050000}"/>
    <cellStyle name="40% - Accent3 3 2 4 2 2 2" xfId="16409" xr:uid="{6D40649B-D6E1-4BEB-B7A3-48B1CE903C3C}"/>
    <cellStyle name="40% - Accent3 3 2 4 2 3" xfId="12191" xr:uid="{09A206FE-BB1F-4C99-BF30-E6E9AF908C38}"/>
    <cellStyle name="40% - Accent3 3 2 4 3" xfId="5814" xr:uid="{00000000-0005-0000-0000-00005F050000}"/>
    <cellStyle name="40% - Accent3 3 2 4 3 2" xfId="14264" xr:uid="{5CAD1C53-5930-420E-8301-5E56E9B45659}"/>
    <cellStyle name="40% - Accent3 3 2 4 4" xfId="10046" xr:uid="{5CC381E5-0CB6-460F-B2ED-F90C24F6F391}"/>
    <cellStyle name="40% - Accent3 3 2 5" xfId="1921" xr:uid="{00000000-0005-0000-0000-000060050000}"/>
    <cellStyle name="40% - Accent3 3 2 5 2" xfId="4150" xr:uid="{00000000-0005-0000-0000-000061050000}"/>
    <cellStyle name="40% - Accent3 3 2 5 2 2" xfId="8372" xr:uid="{00000000-0005-0000-0000-000062050000}"/>
    <cellStyle name="40% - Accent3 3 2 5 2 2 2" xfId="16822" xr:uid="{507DDF91-8764-4702-99B0-DF9CD7676787}"/>
    <cellStyle name="40% - Accent3 3 2 5 2 3" xfId="12604" xr:uid="{7D610997-4C4C-48B3-8960-6C53CC65AF32}"/>
    <cellStyle name="40% - Accent3 3 2 5 3" xfId="6227" xr:uid="{00000000-0005-0000-0000-000063050000}"/>
    <cellStyle name="40% - Accent3 3 2 5 3 2" xfId="14677" xr:uid="{A89BC7E7-DE0D-4383-ACDE-1C975B97EC2A}"/>
    <cellStyle name="40% - Accent3 3 2 5 4" xfId="10459" xr:uid="{97FF2BF1-752A-4116-AFF4-F111921A7CD4}"/>
    <cellStyle name="40% - Accent3 3 2 6" xfId="2334" xr:uid="{00000000-0005-0000-0000-000064050000}"/>
    <cellStyle name="40% - Accent3 3 2 6 2" xfId="6640" xr:uid="{00000000-0005-0000-0000-000065050000}"/>
    <cellStyle name="40% - Accent3 3 2 6 2 2" xfId="15090" xr:uid="{AA33CC17-17F0-4461-A816-41C553821427}"/>
    <cellStyle name="40% - Accent3 3 2 6 3" xfId="10872" xr:uid="{90EE6FAF-FBAE-4D92-97C3-5B30C9EC2291}"/>
    <cellStyle name="40% - Accent3 3 2 7" xfId="4574" xr:uid="{00000000-0005-0000-0000-000066050000}"/>
    <cellStyle name="40% - Accent3 3 2 7 2" xfId="13024" xr:uid="{B120E55D-302B-4568-B321-BAF36CA6F2DA}"/>
    <cellStyle name="40% - Accent3 3 2 8" xfId="8806" xr:uid="{AEAD5199-9B33-4DBE-8286-BA9BE552E357}"/>
    <cellStyle name="40% - Accent3 3 3" xfId="639" xr:uid="{00000000-0005-0000-0000-000067050000}"/>
    <cellStyle name="40% - Accent3 3 3 2" xfId="2910" xr:uid="{00000000-0005-0000-0000-000068050000}"/>
    <cellStyle name="40% - Accent3 3 3 2 2" xfId="7132" xr:uid="{00000000-0005-0000-0000-000069050000}"/>
    <cellStyle name="40% - Accent3 3 3 2 2 2" xfId="15582" xr:uid="{4673EDAF-C4B2-4BB9-B526-8233ABEE0C6E}"/>
    <cellStyle name="40% - Accent3 3 3 2 3" xfId="11364" xr:uid="{659C6FA9-FA73-419D-A61E-083DAFB55E41}"/>
    <cellStyle name="40% - Accent3 3 3 3" xfId="4987" xr:uid="{00000000-0005-0000-0000-00006A050000}"/>
    <cellStyle name="40% - Accent3 3 3 3 2" xfId="13437" xr:uid="{79C714F3-187C-4147-B786-AD3DD665CD70}"/>
    <cellStyle name="40% - Accent3 3 3 4" xfId="9219" xr:uid="{D7AF7960-3C2A-4FAB-97C0-E827DF5DB004}"/>
    <cellStyle name="40% - Accent3 3 4" xfId="1092" xr:uid="{00000000-0005-0000-0000-00006B050000}"/>
    <cellStyle name="40% - Accent3 3 4 2" xfId="3323" xr:uid="{00000000-0005-0000-0000-00006C050000}"/>
    <cellStyle name="40% - Accent3 3 4 2 2" xfId="7545" xr:uid="{00000000-0005-0000-0000-00006D050000}"/>
    <cellStyle name="40% - Accent3 3 4 2 2 2" xfId="15995" xr:uid="{DD22233B-448B-45E4-A894-ACED2DDBC85C}"/>
    <cellStyle name="40% - Accent3 3 4 2 3" xfId="11777" xr:uid="{12B4091B-D1D6-4A23-87F9-1D8EE7390F8D}"/>
    <cellStyle name="40% - Accent3 3 4 3" xfId="5400" xr:uid="{00000000-0005-0000-0000-00006E050000}"/>
    <cellStyle name="40% - Accent3 3 4 3 2" xfId="13850" xr:uid="{7D1C9E0D-61F9-45D5-899D-5A64D84651CD}"/>
    <cellStyle name="40% - Accent3 3 4 4" xfId="9632" xr:uid="{29DCB332-DA13-4F50-BFC1-5AC439D908F1}"/>
    <cellStyle name="40% - Accent3 3 5" xfId="1506" xr:uid="{00000000-0005-0000-0000-00006F050000}"/>
    <cellStyle name="40% - Accent3 3 5 2" xfId="3736" xr:uid="{00000000-0005-0000-0000-000070050000}"/>
    <cellStyle name="40% - Accent3 3 5 2 2" xfId="7958" xr:uid="{00000000-0005-0000-0000-000071050000}"/>
    <cellStyle name="40% - Accent3 3 5 2 2 2" xfId="16408" xr:uid="{FAF7C79A-B68F-4A57-9839-F18F0C9A9728}"/>
    <cellStyle name="40% - Accent3 3 5 2 3" xfId="12190" xr:uid="{E9DC46AE-4BDF-4F7F-A38E-F100486F2F38}"/>
    <cellStyle name="40% - Accent3 3 5 3" xfId="5813" xr:uid="{00000000-0005-0000-0000-000072050000}"/>
    <cellStyle name="40% - Accent3 3 5 3 2" xfId="14263" xr:uid="{4855FFA5-1292-428E-AB2C-B99FA26AD891}"/>
    <cellStyle name="40% - Accent3 3 5 4" xfId="10045" xr:uid="{30FCDFB9-7709-441D-99A4-5602C6FB302E}"/>
    <cellStyle name="40% - Accent3 3 6" xfId="1920" xr:uid="{00000000-0005-0000-0000-000073050000}"/>
    <cellStyle name="40% - Accent3 3 6 2" xfId="4149" xr:uid="{00000000-0005-0000-0000-000074050000}"/>
    <cellStyle name="40% - Accent3 3 6 2 2" xfId="8371" xr:uid="{00000000-0005-0000-0000-000075050000}"/>
    <cellStyle name="40% - Accent3 3 6 2 2 2" xfId="16821" xr:uid="{59D28C94-95F4-454F-9C77-B4721800C18B}"/>
    <cellStyle name="40% - Accent3 3 6 2 3" xfId="12603" xr:uid="{7982B2E1-8677-4353-B1D8-6FB2E6019549}"/>
    <cellStyle name="40% - Accent3 3 6 3" xfId="6226" xr:uid="{00000000-0005-0000-0000-000076050000}"/>
    <cellStyle name="40% - Accent3 3 6 3 2" xfId="14676" xr:uid="{2081D52A-0104-4D0E-A27B-D4D54DDB9A9F}"/>
    <cellStyle name="40% - Accent3 3 6 4" xfId="10458" xr:uid="{42E45602-4CFC-41FD-94D3-F7C8CC412DA9}"/>
    <cellStyle name="40% - Accent3 3 7" xfId="2333" xr:uid="{00000000-0005-0000-0000-000077050000}"/>
    <cellStyle name="40% - Accent3 3 7 2" xfId="6639" xr:uid="{00000000-0005-0000-0000-000078050000}"/>
    <cellStyle name="40% - Accent3 3 7 2 2" xfId="15089" xr:uid="{AE9927EB-6C1D-4288-9905-C8F49BEA571E}"/>
    <cellStyle name="40% - Accent3 3 7 3" xfId="10871" xr:uid="{F3C98891-17B5-45BC-A787-A9F64738E84D}"/>
    <cellStyle name="40% - Accent3 3 8" xfId="4573" xr:uid="{00000000-0005-0000-0000-000079050000}"/>
    <cellStyle name="40% - Accent3 3 8 2" xfId="13023" xr:uid="{BC7E6708-3C80-4CCD-84E9-B485DC3E6A8E}"/>
    <cellStyle name="40% - Accent3 3 9" xfId="8805" xr:uid="{DCA45E6C-B43C-4338-AE4A-DCDA7FF7D438}"/>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2 2 2" xfId="15584" xr:uid="{B22D2367-AECF-41CC-A500-7E6676BAE0EC}"/>
    <cellStyle name="40% - Accent3 4 2 2 3" xfId="11366" xr:uid="{98B2953C-2D19-4E64-B9F3-6C5F0010018F}"/>
    <cellStyle name="40% - Accent3 4 2 3" xfId="4989" xr:uid="{00000000-0005-0000-0000-00007E050000}"/>
    <cellStyle name="40% - Accent3 4 2 3 2" xfId="13439" xr:uid="{90CD1A0F-87CF-4172-A60C-5032A4B61EA4}"/>
    <cellStyle name="40% - Accent3 4 2 4" xfId="9221" xr:uid="{FE7F8D83-31C9-4F17-9BF6-A26FA5BD0EF3}"/>
    <cellStyle name="40% - Accent3 4 3" xfId="1094" xr:uid="{00000000-0005-0000-0000-00007F050000}"/>
    <cellStyle name="40% - Accent3 4 3 2" xfId="3325" xr:uid="{00000000-0005-0000-0000-000080050000}"/>
    <cellStyle name="40% - Accent3 4 3 2 2" xfId="7547" xr:uid="{00000000-0005-0000-0000-000081050000}"/>
    <cellStyle name="40% - Accent3 4 3 2 2 2" xfId="15997" xr:uid="{2749ECF8-7F0E-47B3-9F78-8A5AF67CAFEF}"/>
    <cellStyle name="40% - Accent3 4 3 2 3" xfId="11779" xr:uid="{D8540E14-FD5A-469B-B4F5-09D39E7EF138}"/>
    <cellStyle name="40% - Accent3 4 3 3" xfId="5402" xr:uid="{00000000-0005-0000-0000-000082050000}"/>
    <cellStyle name="40% - Accent3 4 3 3 2" xfId="13852" xr:uid="{5EF1139B-2CF6-4118-A3CC-48AA4294B227}"/>
    <cellStyle name="40% - Accent3 4 3 4" xfId="9634" xr:uid="{432912D0-1269-4071-93DD-8CAA5DF2066D}"/>
    <cellStyle name="40% - Accent3 4 4" xfId="1508" xr:uid="{00000000-0005-0000-0000-000083050000}"/>
    <cellStyle name="40% - Accent3 4 4 2" xfId="3738" xr:uid="{00000000-0005-0000-0000-000084050000}"/>
    <cellStyle name="40% - Accent3 4 4 2 2" xfId="7960" xr:uid="{00000000-0005-0000-0000-000085050000}"/>
    <cellStyle name="40% - Accent3 4 4 2 2 2" xfId="16410" xr:uid="{C252C319-5B4B-48DA-BB84-2440AA7B226D}"/>
    <cellStyle name="40% - Accent3 4 4 2 3" xfId="12192" xr:uid="{E0232556-685F-4EEF-8E95-EF1F2A592018}"/>
    <cellStyle name="40% - Accent3 4 4 3" xfId="5815" xr:uid="{00000000-0005-0000-0000-000086050000}"/>
    <cellStyle name="40% - Accent3 4 4 3 2" xfId="14265" xr:uid="{8187B729-C96A-45F6-A694-4B5C5647ACB5}"/>
    <cellStyle name="40% - Accent3 4 4 4" xfId="10047" xr:uid="{4912843E-26DA-41FD-B835-BDFBD1E5896D}"/>
    <cellStyle name="40% - Accent3 4 5" xfId="1922" xr:uid="{00000000-0005-0000-0000-000087050000}"/>
    <cellStyle name="40% - Accent3 4 5 2" xfId="4151" xr:uid="{00000000-0005-0000-0000-000088050000}"/>
    <cellStyle name="40% - Accent3 4 5 2 2" xfId="8373" xr:uid="{00000000-0005-0000-0000-000089050000}"/>
    <cellStyle name="40% - Accent3 4 5 2 2 2" xfId="16823" xr:uid="{758F12F9-CE73-48D0-927A-B7F37226D990}"/>
    <cellStyle name="40% - Accent3 4 5 2 3" xfId="12605" xr:uid="{65B6FDC7-7995-4544-840E-FD1AE58132E7}"/>
    <cellStyle name="40% - Accent3 4 5 3" xfId="6228" xr:uid="{00000000-0005-0000-0000-00008A050000}"/>
    <cellStyle name="40% - Accent3 4 5 3 2" xfId="14678" xr:uid="{F91C1533-01CA-439E-90DA-357B8328DA22}"/>
    <cellStyle name="40% - Accent3 4 5 4" xfId="10460" xr:uid="{40748D07-ED04-4997-BEDE-9F9D3B133E45}"/>
    <cellStyle name="40% - Accent3 4 6" xfId="2335" xr:uid="{00000000-0005-0000-0000-00008B050000}"/>
    <cellStyle name="40% - Accent3 4 6 2" xfId="6641" xr:uid="{00000000-0005-0000-0000-00008C050000}"/>
    <cellStyle name="40% - Accent3 4 6 2 2" xfId="15091" xr:uid="{4207BEED-7C6A-40A6-837E-B468BFB397B4}"/>
    <cellStyle name="40% - Accent3 4 6 3" xfId="10873" xr:uid="{EDC1560F-1830-4BF4-B0DD-2DEE8BB4AFD2}"/>
    <cellStyle name="40% - Accent3 4 7" xfId="4575" xr:uid="{00000000-0005-0000-0000-00008D050000}"/>
    <cellStyle name="40% - Accent3 4 7 2" xfId="13025" xr:uid="{4CB96895-0683-4DAE-A8A5-08662FAD5C82}"/>
    <cellStyle name="40% - Accent3 4 8" xfId="8807" xr:uid="{99382540-C886-4841-95B1-1B0BCB0C76F9}"/>
    <cellStyle name="40% - Accent3 5" xfId="634" xr:uid="{00000000-0005-0000-0000-00008E050000}"/>
    <cellStyle name="40% - Accent3 5 2" xfId="2905" xr:uid="{00000000-0005-0000-0000-00008F050000}"/>
    <cellStyle name="40% - Accent3 5 2 2" xfId="7127" xr:uid="{00000000-0005-0000-0000-000090050000}"/>
    <cellStyle name="40% - Accent3 5 2 2 2" xfId="15577" xr:uid="{1A22065D-DF75-402D-B3ED-C1D1B45756BF}"/>
    <cellStyle name="40% - Accent3 5 2 3" xfId="11359" xr:uid="{4937C256-027C-406F-86A1-2DCF4734C0F3}"/>
    <cellStyle name="40% - Accent3 5 3" xfId="4982" xr:uid="{00000000-0005-0000-0000-000091050000}"/>
    <cellStyle name="40% - Accent3 5 3 2" xfId="13432" xr:uid="{7BAB4AB2-7287-4830-8BC4-F2443393339B}"/>
    <cellStyle name="40% - Accent3 5 4" xfId="9214" xr:uid="{C88B50BC-87E9-40E4-9557-96228B7839AF}"/>
    <cellStyle name="40% - Accent3 6" xfId="1087" xr:uid="{00000000-0005-0000-0000-000092050000}"/>
    <cellStyle name="40% - Accent3 6 2" xfId="3318" xr:uid="{00000000-0005-0000-0000-000093050000}"/>
    <cellStyle name="40% - Accent3 6 2 2" xfId="7540" xr:uid="{00000000-0005-0000-0000-000094050000}"/>
    <cellStyle name="40% - Accent3 6 2 2 2" xfId="15990" xr:uid="{E9D8E599-D9CD-4CEA-B271-2135DDB4F8BA}"/>
    <cellStyle name="40% - Accent3 6 2 3" xfId="11772" xr:uid="{BCCFB275-8E5A-4263-98CA-33DE8A13098F}"/>
    <cellStyle name="40% - Accent3 6 3" xfId="5395" xr:uid="{00000000-0005-0000-0000-000095050000}"/>
    <cellStyle name="40% - Accent3 6 3 2" xfId="13845" xr:uid="{FFD2A79F-8001-4653-91F6-69E1E5921F21}"/>
    <cellStyle name="40% - Accent3 6 4" xfId="9627" xr:uid="{F3744C84-073C-4838-84E0-809467051327}"/>
    <cellStyle name="40% - Accent3 7" xfId="1501" xr:uid="{00000000-0005-0000-0000-000096050000}"/>
    <cellStyle name="40% - Accent3 7 2" xfId="3731" xr:uid="{00000000-0005-0000-0000-000097050000}"/>
    <cellStyle name="40% - Accent3 7 2 2" xfId="7953" xr:uid="{00000000-0005-0000-0000-000098050000}"/>
    <cellStyle name="40% - Accent3 7 2 2 2" xfId="16403" xr:uid="{5ADE055C-69D6-40A6-8748-2100B4999012}"/>
    <cellStyle name="40% - Accent3 7 2 3" xfId="12185" xr:uid="{750ED0C4-DAEC-4D18-8791-D2B2136BB510}"/>
    <cellStyle name="40% - Accent3 7 3" xfId="5808" xr:uid="{00000000-0005-0000-0000-000099050000}"/>
    <cellStyle name="40% - Accent3 7 3 2" xfId="14258" xr:uid="{75187BCA-5169-4462-9713-8896F35C6C3E}"/>
    <cellStyle name="40% - Accent3 7 4" xfId="10040" xr:uid="{0871F3E1-96FB-400E-8CC2-F578D001E5A8}"/>
    <cellStyle name="40% - Accent3 8" xfId="1915" xr:uid="{00000000-0005-0000-0000-00009A050000}"/>
    <cellStyle name="40% - Accent3 8 2" xfId="4144" xr:uid="{00000000-0005-0000-0000-00009B050000}"/>
    <cellStyle name="40% - Accent3 8 2 2" xfId="8366" xr:uid="{00000000-0005-0000-0000-00009C050000}"/>
    <cellStyle name="40% - Accent3 8 2 2 2" xfId="16816" xr:uid="{9ABD2494-E52C-4FD3-805D-34C6A5D105D5}"/>
    <cellStyle name="40% - Accent3 8 2 3" xfId="12598" xr:uid="{EF35E60C-3082-4BAC-83C7-4DB82FFCACD4}"/>
    <cellStyle name="40% - Accent3 8 3" xfId="6221" xr:uid="{00000000-0005-0000-0000-00009D050000}"/>
    <cellStyle name="40% - Accent3 8 3 2" xfId="14671" xr:uid="{FB7E9D4B-6AA5-4CC9-8EAE-C86C6EDC22FB}"/>
    <cellStyle name="40% - Accent3 8 4" xfId="10453" xr:uid="{4016D99B-8FA5-40A4-918A-12752A20635F}"/>
    <cellStyle name="40% - Accent3 9" xfId="2328" xr:uid="{00000000-0005-0000-0000-00009E050000}"/>
    <cellStyle name="40% - Accent3 9 2" xfId="6634" xr:uid="{00000000-0005-0000-0000-00009F050000}"/>
    <cellStyle name="40% - Accent3 9 2 2" xfId="15084" xr:uid="{A48A118F-FE6D-4566-A5B2-E6647F93D790}"/>
    <cellStyle name="40% - Accent3 9 3" xfId="10866" xr:uid="{EB9792E1-9C03-403C-8B8F-F15B063F022A}"/>
    <cellStyle name="40% - Accent4" xfId="73" builtinId="43" customBuiltin="1"/>
    <cellStyle name="40% - Accent4 10" xfId="4576" xr:uid="{00000000-0005-0000-0000-0000A1050000}"/>
    <cellStyle name="40% - Accent4 10 2" xfId="13026" xr:uid="{69526FB5-585F-4E75-8FB9-16DE27CDDE74}"/>
    <cellStyle name="40% - Accent4 11" xfId="8808" xr:uid="{464A69A1-37AD-47A3-879D-F860103895DC}"/>
    <cellStyle name="40% - Accent4 2" xfId="74" xr:uid="{00000000-0005-0000-0000-0000A2050000}"/>
    <cellStyle name="40% - Accent4 2 10" xfId="8809" xr:uid="{DB4A9DE0-DED2-4031-A6A9-C236C665779E}"/>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2 2 2" xfId="15588" xr:uid="{54B9A4E0-745F-4CC4-B479-9147062400AA}"/>
    <cellStyle name="40% - Accent4 2 2 2 2 2 3" xfId="11370" xr:uid="{E0E372E8-6753-4D06-BB47-CA787156FADE}"/>
    <cellStyle name="40% - Accent4 2 2 2 2 3" xfId="4993" xr:uid="{00000000-0005-0000-0000-0000A8050000}"/>
    <cellStyle name="40% - Accent4 2 2 2 2 3 2" xfId="13443" xr:uid="{96864472-9147-4340-A4B1-34FBC140A8F1}"/>
    <cellStyle name="40% - Accent4 2 2 2 2 4" xfId="9225" xr:uid="{A18A36C6-B246-42CA-B6B7-2DE1FBBEED9C}"/>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2 2 2" xfId="16001" xr:uid="{65C16E8A-A35C-45DD-B811-78926D9B5625}"/>
    <cellStyle name="40% - Accent4 2 2 2 3 2 3" xfId="11783" xr:uid="{8B375EB0-0208-4F3A-897A-D6316AFEB2A5}"/>
    <cellStyle name="40% - Accent4 2 2 2 3 3" xfId="5406" xr:uid="{00000000-0005-0000-0000-0000AC050000}"/>
    <cellStyle name="40% - Accent4 2 2 2 3 3 2" xfId="13856" xr:uid="{8094D999-4351-47D9-BE5B-51223CCD23B2}"/>
    <cellStyle name="40% - Accent4 2 2 2 3 4" xfId="9638" xr:uid="{279347D4-AF7E-4258-882A-6F5EE9738EA6}"/>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2 2 2" xfId="16414" xr:uid="{EFFCDE8A-0F97-4E7F-AC03-86DF7B2FFE5A}"/>
    <cellStyle name="40% - Accent4 2 2 2 4 2 3" xfId="12196" xr:uid="{98C0CBAD-1295-454B-BAD7-D2C1DEF13838}"/>
    <cellStyle name="40% - Accent4 2 2 2 4 3" xfId="5819" xr:uid="{00000000-0005-0000-0000-0000B0050000}"/>
    <cellStyle name="40% - Accent4 2 2 2 4 3 2" xfId="14269" xr:uid="{B6105142-4956-4CE1-A0C5-2C13560C4104}"/>
    <cellStyle name="40% - Accent4 2 2 2 4 4" xfId="10051" xr:uid="{A0289844-EAC5-48AC-8288-D2E5FAF6AD7B}"/>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2 2 2" xfId="16827" xr:uid="{9DF3DFAC-7161-4F40-9511-B0202C9BD51F}"/>
    <cellStyle name="40% - Accent4 2 2 2 5 2 3" xfId="12609" xr:uid="{F07ED78D-850B-430D-866C-9A475BEF6678}"/>
    <cellStyle name="40% - Accent4 2 2 2 5 3" xfId="6232" xr:uid="{00000000-0005-0000-0000-0000B4050000}"/>
    <cellStyle name="40% - Accent4 2 2 2 5 3 2" xfId="14682" xr:uid="{A65FB8AB-6EB6-4439-9887-45B067B22BEB}"/>
    <cellStyle name="40% - Accent4 2 2 2 5 4" xfId="10464" xr:uid="{BAAC0C8E-E5E3-451D-890D-A19BA6112FD4}"/>
    <cellStyle name="40% - Accent4 2 2 2 6" xfId="2339" xr:uid="{00000000-0005-0000-0000-0000B5050000}"/>
    <cellStyle name="40% - Accent4 2 2 2 6 2" xfId="6645" xr:uid="{00000000-0005-0000-0000-0000B6050000}"/>
    <cellStyle name="40% - Accent4 2 2 2 6 2 2" xfId="15095" xr:uid="{33109CC3-879D-4467-862B-7A49EE1545DF}"/>
    <cellStyle name="40% - Accent4 2 2 2 6 3" xfId="10877" xr:uid="{3215958D-1887-4B62-9B71-FAD456A23646}"/>
    <cellStyle name="40% - Accent4 2 2 2 7" xfId="4579" xr:uid="{00000000-0005-0000-0000-0000B7050000}"/>
    <cellStyle name="40% - Accent4 2 2 2 7 2" xfId="13029" xr:uid="{B5EC36CA-B773-4169-AD6D-45078FEE4F53}"/>
    <cellStyle name="40% - Accent4 2 2 2 8" xfId="8811" xr:uid="{A56A333A-70FF-4FCD-8CC6-A29FDB154BEF}"/>
    <cellStyle name="40% - Accent4 2 2 3" xfId="644" xr:uid="{00000000-0005-0000-0000-0000B8050000}"/>
    <cellStyle name="40% - Accent4 2 2 3 2" xfId="2915" xr:uid="{00000000-0005-0000-0000-0000B9050000}"/>
    <cellStyle name="40% - Accent4 2 2 3 2 2" xfId="7137" xr:uid="{00000000-0005-0000-0000-0000BA050000}"/>
    <cellStyle name="40% - Accent4 2 2 3 2 2 2" xfId="15587" xr:uid="{40673C80-CFD0-4584-BE03-10B6A8E83B3B}"/>
    <cellStyle name="40% - Accent4 2 2 3 2 3" xfId="11369" xr:uid="{6E50B6F8-EAD9-4AD7-89D9-C71B211BE208}"/>
    <cellStyle name="40% - Accent4 2 2 3 3" xfId="4992" xr:uid="{00000000-0005-0000-0000-0000BB050000}"/>
    <cellStyle name="40% - Accent4 2 2 3 3 2" xfId="13442" xr:uid="{71A58565-F012-472F-BD70-93A069D88EA1}"/>
    <cellStyle name="40% - Accent4 2 2 3 4" xfId="9224" xr:uid="{479DEBAA-5DDF-423E-B679-CC26DA8F1325}"/>
    <cellStyle name="40% - Accent4 2 2 4" xfId="1097" xr:uid="{00000000-0005-0000-0000-0000BC050000}"/>
    <cellStyle name="40% - Accent4 2 2 4 2" xfId="3328" xr:uid="{00000000-0005-0000-0000-0000BD050000}"/>
    <cellStyle name="40% - Accent4 2 2 4 2 2" xfId="7550" xr:uid="{00000000-0005-0000-0000-0000BE050000}"/>
    <cellStyle name="40% - Accent4 2 2 4 2 2 2" xfId="16000" xr:uid="{9309095D-6A7E-4DCD-BC3B-EFE42DB1CD1E}"/>
    <cellStyle name="40% - Accent4 2 2 4 2 3" xfId="11782" xr:uid="{E5EA7504-CBC1-4BFB-A699-DA45C44EA0E7}"/>
    <cellStyle name="40% - Accent4 2 2 4 3" xfId="5405" xr:uid="{00000000-0005-0000-0000-0000BF050000}"/>
    <cellStyle name="40% - Accent4 2 2 4 3 2" xfId="13855" xr:uid="{1963B8E7-1A45-421C-8287-3A813F4B1C4A}"/>
    <cellStyle name="40% - Accent4 2 2 4 4" xfId="9637" xr:uid="{73130E6F-C6E9-4513-8129-83F2DC0429E8}"/>
    <cellStyle name="40% - Accent4 2 2 5" xfId="1511" xr:uid="{00000000-0005-0000-0000-0000C0050000}"/>
    <cellStyle name="40% - Accent4 2 2 5 2" xfId="3741" xr:uid="{00000000-0005-0000-0000-0000C1050000}"/>
    <cellStyle name="40% - Accent4 2 2 5 2 2" xfId="7963" xr:uid="{00000000-0005-0000-0000-0000C2050000}"/>
    <cellStyle name="40% - Accent4 2 2 5 2 2 2" xfId="16413" xr:uid="{F3547451-E2C3-4655-B62D-CE043721394B}"/>
    <cellStyle name="40% - Accent4 2 2 5 2 3" xfId="12195" xr:uid="{735B8C01-1658-4663-93B5-3A7BAF3D8267}"/>
    <cellStyle name="40% - Accent4 2 2 5 3" xfId="5818" xr:uid="{00000000-0005-0000-0000-0000C3050000}"/>
    <cellStyle name="40% - Accent4 2 2 5 3 2" xfId="14268" xr:uid="{00624594-2995-4529-8441-B86D41C23CCC}"/>
    <cellStyle name="40% - Accent4 2 2 5 4" xfId="10050" xr:uid="{8D5127C1-5562-4F62-BA77-C182F3DD6C68}"/>
    <cellStyle name="40% - Accent4 2 2 6" xfId="1925" xr:uid="{00000000-0005-0000-0000-0000C4050000}"/>
    <cellStyle name="40% - Accent4 2 2 6 2" xfId="4154" xr:uid="{00000000-0005-0000-0000-0000C5050000}"/>
    <cellStyle name="40% - Accent4 2 2 6 2 2" xfId="8376" xr:uid="{00000000-0005-0000-0000-0000C6050000}"/>
    <cellStyle name="40% - Accent4 2 2 6 2 2 2" xfId="16826" xr:uid="{A6DBD9B7-94E4-4BB0-9FF8-81A49E99E328}"/>
    <cellStyle name="40% - Accent4 2 2 6 2 3" xfId="12608" xr:uid="{CF3DEB76-C2CF-48AD-932F-EAB4CC21DC32}"/>
    <cellStyle name="40% - Accent4 2 2 6 3" xfId="6231" xr:uid="{00000000-0005-0000-0000-0000C7050000}"/>
    <cellStyle name="40% - Accent4 2 2 6 3 2" xfId="14681" xr:uid="{A10B5046-6B77-4349-8DAC-EAA351E6E93B}"/>
    <cellStyle name="40% - Accent4 2 2 6 4" xfId="10463" xr:uid="{B5938CB0-0B1F-4BBB-BC6B-58D3BC9468C2}"/>
    <cellStyle name="40% - Accent4 2 2 7" xfId="2338" xr:uid="{00000000-0005-0000-0000-0000C8050000}"/>
    <cellStyle name="40% - Accent4 2 2 7 2" xfId="6644" xr:uid="{00000000-0005-0000-0000-0000C9050000}"/>
    <cellStyle name="40% - Accent4 2 2 7 2 2" xfId="15094" xr:uid="{3E64B185-3387-44F8-9D06-C1780BF79AF0}"/>
    <cellStyle name="40% - Accent4 2 2 7 3" xfId="10876" xr:uid="{8A2FEF4B-0207-4A07-9650-5EE4FDFE59FE}"/>
    <cellStyle name="40% - Accent4 2 2 8" xfId="4578" xr:uid="{00000000-0005-0000-0000-0000CA050000}"/>
    <cellStyle name="40% - Accent4 2 2 8 2" xfId="13028" xr:uid="{2AA6EAB1-60D6-43A3-8CA1-84357F4EB10B}"/>
    <cellStyle name="40% - Accent4 2 2 9" xfId="8810" xr:uid="{96980F8D-30CD-4CA9-8733-ACA9F0558161}"/>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2 2 2" xfId="15589" xr:uid="{A72C874E-7637-4E52-8FF1-C8624397AB9C}"/>
    <cellStyle name="40% - Accent4 2 3 2 2 3" xfId="11371" xr:uid="{6721AACE-FEDB-4F45-96C3-1FC1856A77AA}"/>
    <cellStyle name="40% - Accent4 2 3 2 3" xfId="4994" xr:uid="{00000000-0005-0000-0000-0000CF050000}"/>
    <cellStyle name="40% - Accent4 2 3 2 3 2" xfId="13444" xr:uid="{27A0E411-F419-441B-8F85-898EF7974795}"/>
    <cellStyle name="40% - Accent4 2 3 2 4" xfId="9226" xr:uid="{EEFE10EC-87C1-4F3F-ABBF-065A080E4AD9}"/>
    <cellStyle name="40% - Accent4 2 3 3" xfId="1099" xr:uid="{00000000-0005-0000-0000-0000D0050000}"/>
    <cellStyle name="40% - Accent4 2 3 3 2" xfId="3330" xr:uid="{00000000-0005-0000-0000-0000D1050000}"/>
    <cellStyle name="40% - Accent4 2 3 3 2 2" xfId="7552" xr:uid="{00000000-0005-0000-0000-0000D2050000}"/>
    <cellStyle name="40% - Accent4 2 3 3 2 2 2" xfId="16002" xr:uid="{7F97260E-7F54-4252-9761-AE5659922ABD}"/>
    <cellStyle name="40% - Accent4 2 3 3 2 3" xfId="11784" xr:uid="{FD07FBF1-602A-4F88-B8BE-3836F921D251}"/>
    <cellStyle name="40% - Accent4 2 3 3 3" xfId="5407" xr:uid="{00000000-0005-0000-0000-0000D3050000}"/>
    <cellStyle name="40% - Accent4 2 3 3 3 2" xfId="13857" xr:uid="{2806399A-63EA-48FB-9C8D-2D70C4787110}"/>
    <cellStyle name="40% - Accent4 2 3 3 4" xfId="9639" xr:uid="{32B5E628-112B-467E-929A-9008EE1082C3}"/>
    <cellStyle name="40% - Accent4 2 3 4" xfId="1513" xr:uid="{00000000-0005-0000-0000-0000D4050000}"/>
    <cellStyle name="40% - Accent4 2 3 4 2" xfId="3743" xr:uid="{00000000-0005-0000-0000-0000D5050000}"/>
    <cellStyle name="40% - Accent4 2 3 4 2 2" xfId="7965" xr:uid="{00000000-0005-0000-0000-0000D6050000}"/>
    <cellStyle name="40% - Accent4 2 3 4 2 2 2" xfId="16415" xr:uid="{77DE4145-C651-496C-A920-99EDA8842951}"/>
    <cellStyle name="40% - Accent4 2 3 4 2 3" xfId="12197" xr:uid="{8C91F2C8-D132-45A0-A73E-0160012FB119}"/>
    <cellStyle name="40% - Accent4 2 3 4 3" xfId="5820" xr:uid="{00000000-0005-0000-0000-0000D7050000}"/>
    <cellStyle name="40% - Accent4 2 3 4 3 2" xfId="14270" xr:uid="{AC7AD1F9-CC1B-4CF3-B2EE-FEA660323167}"/>
    <cellStyle name="40% - Accent4 2 3 4 4" xfId="10052" xr:uid="{D65058EE-69AD-4265-A60A-346F70325EE3}"/>
    <cellStyle name="40% - Accent4 2 3 5" xfId="1927" xr:uid="{00000000-0005-0000-0000-0000D8050000}"/>
    <cellStyle name="40% - Accent4 2 3 5 2" xfId="4156" xr:uid="{00000000-0005-0000-0000-0000D9050000}"/>
    <cellStyle name="40% - Accent4 2 3 5 2 2" xfId="8378" xr:uid="{00000000-0005-0000-0000-0000DA050000}"/>
    <cellStyle name="40% - Accent4 2 3 5 2 2 2" xfId="16828" xr:uid="{7E68A0DD-9AD7-400E-A024-D80D585A9D67}"/>
    <cellStyle name="40% - Accent4 2 3 5 2 3" xfId="12610" xr:uid="{26C0E4BC-44D8-4189-A8C4-436A72AC2BA4}"/>
    <cellStyle name="40% - Accent4 2 3 5 3" xfId="6233" xr:uid="{00000000-0005-0000-0000-0000DB050000}"/>
    <cellStyle name="40% - Accent4 2 3 5 3 2" xfId="14683" xr:uid="{648B9608-EAE7-4695-855A-A8E3200D1F86}"/>
    <cellStyle name="40% - Accent4 2 3 5 4" xfId="10465" xr:uid="{D208B12E-E155-42F5-B792-C372E5E2A83D}"/>
    <cellStyle name="40% - Accent4 2 3 6" xfId="2340" xr:uid="{00000000-0005-0000-0000-0000DC050000}"/>
    <cellStyle name="40% - Accent4 2 3 6 2" xfId="6646" xr:uid="{00000000-0005-0000-0000-0000DD050000}"/>
    <cellStyle name="40% - Accent4 2 3 6 2 2" xfId="15096" xr:uid="{90BDFBED-FCDE-4AFC-9CF5-E4D9AF66C445}"/>
    <cellStyle name="40% - Accent4 2 3 6 3" xfId="10878" xr:uid="{1875C5DA-180A-48B4-8164-7A9299A904BC}"/>
    <cellStyle name="40% - Accent4 2 3 7" xfId="4580" xr:uid="{00000000-0005-0000-0000-0000DE050000}"/>
    <cellStyle name="40% - Accent4 2 3 7 2" xfId="13030" xr:uid="{7A7976EF-93C5-45FE-904E-1434447A13D1}"/>
    <cellStyle name="40% - Accent4 2 3 8" xfId="8812" xr:uid="{6E431EF7-CEAD-4D9A-9BDC-6D1C75DE9E44}"/>
    <cellStyle name="40% - Accent4 2 4" xfId="643" xr:uid="{00000000-0005-0000-0000-0000DF050000}"/>
    <cellStyle name="40% - Accent4 2 4 2" xfId="2914" xr:uid="{00000000-0005-0000-0000-0000E0050000}"/>
    <cellStyle name="40% - Accent4 2 4 2 2" xfId="7136" xr:uid="{00000000-0005-0000-0000-0000E1050000}"/>
    <cellStyle name="40% - Accent4 2 4 2 2 2" xfId="15586" xr:uid="{CEA6FC43-29FA-4A09-BE59-41349E097482}"/>
    <cellStyle name="40% - Accent4 2 4 2 3" xfId="11368" xr:uid="{7C9C68E8-2E64-47D6-AD08-A91079DC173C}"/>
    <cellStyle name="40% - Accent4 2 4 3" xfId="4991" xr:uid="{00000000-0005-0000-0000-0000E2050000}"/>
    <cellStyle name="40% - Accent4 2 4 3 2" xfId="13441" xr:uid="{416D6601-671C-458C-8941-E7914D569390}"/>
    <cellStyle name="40% - Accent4 2 4 4" xfId="9223" xr:uid="{87B24314-B772-4113-AFE1-1E49F2692235}"/>
    <cellStyle name="40% - Accent4 2 5" xfId="1096" xr:uid="{00000000-0005-0000-0000-0000E3050000}"/>
    <cellStyle name="40% - Accent4 2 5 2" xfId="3327" xr:uid="{00000000-0005-0000-0000-0000E4050000}"/>
    <cellStyle name="40% - Accent4 2 5 2 2" xfId="7549" xr:uid="{00000000-0005-0000-0000-0000E5050000}"/>
    <cellStyle name="40% - Accent4 2 5 2 2 2" xfId="15999" xr:uid="{C886A689-31F8-4E8E-9179-9A9DF8E58066}"/>
    <cellStyle name="40% - Accent4 2 5 2 3" xfId="11781" xr:uid="{BA1BA441-49E3-47E7-9E09-AAB133A20502}"/>
    <cellStyle name="40% - Accent4 2 5 3" xfId="5404" xr:uid="{00000000-0005-0000-0000-0000E6050000}"/>
    <cellStyle name="40% - Accent4 2 5 3 2" xfId="13854" xr:uid="{02DB33DC-2921-449F-9B29-B05466F66116}"/>
    <cellStyle name="40% - Accent4 2 5 4" xfId="9636" xr:uid="{B360A33E-9585-436B-819C-F8289C3D2979}"/>
    <cellStyle name="40% - Accent4 2 6" xfId="1510" xr:uid="{00000000-0005-0000-0000-0000E7050000}"/>
    <cellStyle name="40% - Accent4 2 6 2" xfId="3740" xr:uid="{00000000-0005-0000-0000-0000E8050000}"/>
    <cellStyle name="40% - Accent4 2 6 2 2" xfId="7962" xr:uid="{00000000-0005-0000-0000-0000E9050000}"/>
    <cellStyle name="40% - Accent4 2 6 2 2 2" xfId="16412" xr:uid="{6EC3BF93-A287-49B0-B198-46E4A9F33ACB}"/>
    <cellStyle name="40% - Accent4 2 6 2 3" xfId="12194" xr:uid="{6B680906-1796-4FB0-A67C-CFF730FC474D}"/>
    <cellStyle name="40% - Accent4 2 6 3" xfId="5817" xr:uid="{00000000-0005-0000-0000-0000EA050000}"/>
    <cellStyle name="40% - Accent4 2 6 3 2" xfId="14267" xr:uid="{CAD81071-9E73-45CC-9E43-30B49CABFE79}"/>
    <cellStyle name="40% - Accent4 2 6 4" xfId="10049" xr:uid="{C14D15A4-6E33-46F8-9029-442DE3B143DD}"/>
    <cellStyle name="40% - Accent4 2 7" xfId="1924" xr:uid="{00000000-0005-0000-0000-0000EB050000}"/>
    <cellStyle name="40% - Accent4 2 7 2" xfId="4153" xr:uid="{00000000-0005-0000-0000-0000EC050000}"/>
    <cellStyle name="40% - Accent4 2 7 2 2" xfId="8375" xr:uid="{00000000-0005-0000-0000-0000ED050000}"/>
    <cellStyle name="40% - Accent4 2 7 2 2 2" xfId="16825" xr:uid="{C1D51C96-2E5F-4B33-A434-DF4078FC74B0}"/>
    <cellStyle name="40% - Accent4 2 7 2 3" xfId="12607" xr:uid="{4768C11E-F24C-4FF2-BD4C-F281EA2F4175}"/>
    <cellStyle name="40% - Accent4 2 7 3" xfId="6230" xr:uid="{00000000-0005-0000-0000-0000EE050000}"/>
    <cellStyle name="40% - Accent4 2 7 3 2" xfId="14680" xr:uid="{AE512214-5317-4C01-B4A6-08ED43997710}"/>
    <cellStyle name="40% - Accent4 2 7 4" xfId="10462" xr:uid="{A49AFF53-D56C-48CC-A1B9-668F713EE326}"/>
    <cellStyle name="40% - Accent4 2 8" xfId="2337" xr:uid="{00000000-0005-0000-0000-0000EF050000}"/>
    <cellStyle name="40% - Accent4 2 8 2" xfId="6643" xr:uid="{00000000-0005-0000-0000-0000F0050000}"/>
    <cellStyle name="40% - Accent4 2 8 2 2" xfId="15093" xr:uid="{9AEC38BA-4CE2-4EC2-9AED-C5875F57639D}"/>
    <cellStyle name="40% - Accent4 2 8 3" xfId="10875" xr:uid="{732DA4E9-4CD3-4AE2-8320-04DDAFF31A9A}"/>
    <cellStyle name="40% - Accent4 2 9" xfId="4577" xr:uid="{00000000-0005-0000-0000-0000F1050000}"/>
    <cellStyle name="40% - Accent4 2 9 2" xfId="13027" xr:uid="{9890D453-5AD0-40E8-B3F8-B6A554E6A8EB}"/>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2 2 2" xfId="15591" xr:uid="{9D7CF609-1116-4BAF-8666-DD427EBFEF2C}"/>
    <cellStyle name="40% - Accent4 3 2 2 2 3" xfId="11373" xr:uid="{E7553402-B071-4682-AFCC-BC650C263D64}"/>
    <cellStyle name="40% - Accent4 3 2 2 3" xfId="4996" xr:uid="{00000000-0005-0000-0000-0000F7050000}"/>
    <cellStyle name="40% - Accent4 3 2 2 3 2" xfId="13446" xr:uid="{2D51A1A4-CBB5-468A-8FED-0AC27E429BFA}"/>
    <cellStyle name="40% - Accent4 3 2 2 4" xfId="9228" xr:uid="{E4AAC369-2BD8-46C6-9238-A77F4F40F331}"/>
    <cellStyle name="40% - Accent4 3 2 3" xfId="1101" xr:uid="{00000000-0005-0000-0000-0000F8050000}"/>
    <cellStyle name="40% - Accent4 3 2 3 2" xfId="3332" xr:uid="{00000000-0005-0000-0000-0000F9050000}"/>
    <cellStyle name="40% - Accent4 3 2 3 2 2" xfId="7554" xr:uid="{00000000-0005-0000-0000-0000FA050000}"/>
    <cellStyle name="40% - Accent4 3 2 3 2 2 2" xfId="16004" xr:uid="{0FDAC337-FD6A-48FA-B584-C805D00797F9}"/>
    <cellStyle name="40% - Accent4 3 2 3 2 3" xfId="11786" xr:uid="{EE8E5804-028F-428A-A4C3-3FCC791E7268}"/>
    <cellStyle name="40% - Accent4 3 2 3 3" xfId="5409" xr:uid="{00000000-0005-0000-0000-0000FB050000}"/>
    <cellStyle name="40% - Accent4 3 2 3 3 2" xfId="13859" xr:uid="{69CF189F-04E1-4ECF-ADDD-E77672984176}"/>
    <cellStyle name="40% - Accent4 3 2 3 4" xfId="9641" xr:uid="{5418607D-B018-4517-8B59-20B7BEBA50BB}"/>
    <cellStyle name="40% - Accent4 3 2 4" xfId="1515" xr:uid="{00000000-0005-0000-0000-0000FC050000}"/>
    <cellStyle name="40% - Accent4 3 2 4 2" xfId="3745" xr:uid="{00000000-0005-0000-0000-0000FD050000}"/>
    <cellStyle name="40% - Accent4 3 2 4 2 2" xfId="7967" xr:uid="{00000000-0005-0000-0000-0000FE050000}"/>
    <cellStyle name="40% - Accent4 3 2 4 2 2 2" xfId="16417" xr:uid="{A0167851-48F6-4B24-AE3B-F90392DD1A22}"/>
    <cellStyle name="40% - Accent4 3 2 4 2 3" xfId="12199" xr:uid="{98F602E5-38E1-4AAA-A110-6AFB85143A8E}"/>
    <cellStyle name="40% - Accent4 3 2 4 3" xfId="5822" xr:uid="{00000000-0005-0000-0000-0000FF050000}"/>
    <cellStyle name="40% - Accent4 3 2 4 3 2" xfId="14272" xr:uid="{D383E70D-3649-44AF-A408-87CCEA3CE5E6}"/>
    <cellStyle name="40% - Accent4 3 2 4 4" xfId="10054" xr:uid="{42E8C569-BA61-4FF7-91EC-CCA06D546854}"/>
    <cellStyle name="40% - Accent4 3 2 5" xfId="1929" xr:uid="{00000000-0005-0000-0000-000000060000}"/>
    <cellStyle name="40% - Accent4 3 2 5 2" xfId="4158" xr:uid="{00000000-0005-0000-0000-000001060000}"/>
    <cellStyle name="40% - Accent4 3 2 5 2 2" xfId="8380" xr:uid="{00000000-0005-0000-0000-000002060000}"/>
    <cellStyle name="40% - Accent4 3 2 5 2 2 2" xfId="16830" xr:uid="{D6AE6887-AD12-4123-9B6D-A51729F45089}"/>
    <cellStyle name="40% - Accent4 3 2 5 2 3" xfId="12612" xr:uid="{847ED4C3-75C3-4E67-9EA9-B01A61BE3C36}"/>
    <cellStyle name="40% - Accent4 3 2 5 3" xfId="6235" xr:uid="{00000000-0005-0000-0000-000003060000}"/>
    <cellStyle name="40% - Accent4 3 2 5 3 2" xfId="14685" xr:uid="{7CCF2F85-9C77-4AA6-BF5B-92589D3D5887}"/>
    <cellStyle name="40% - Accent4 3 2 5 4" xfId="10467" xr:uid="{2B01253B-253A-4D4E-81B4-1BA96F9ADCEC}"/>
    <cellStyle name="40% - Accent4 3 2 6" xfId="2342" xr:uid="{00000000-0005-0000-0000-000004060000}"/>
    <cellStyle name="40% - Accent4 3 2 6 2" xfId="6648" xr:uid="{00000000-0005-0000-0000-000005060000}"/>
    <cellStyle name="40% - Accent4 3 2 6 2 2" xfId="15098" xr:uid="{929AC1FA-C543-4719-9990-553CA813CD13}"/>
    <cellStyle name="40% - Accent4 3 2 6 3" xfId="10880" xr:uid="{FF33944E-81A0-425E-B446-DC73528564D1}"/>
    <cellStyle name="40% - Accent4 3 2 7" xfId="4582" xr:uid="{00000000-0005-0000-0000-000006060000}"/>
    <cellStyle name="40% - Accent4 3 2 7 2" xfId="13032" xr:uid="{440668C9-7500-409A-B76F-37C81458C9C1}"/>
    <cellStyle name="40% - Accent4 3 2 8" xfId="8814" xr:uid="{F293C606-D4C4-4A01-BFBC-AD9B4A43A9CB}"/>
    <cellStyle name="40% - Accent4 3 3" xfId="647" xr:uid="{00000000-0005-0000-0000-000007060000}"/>
    <cellStyle name="40% - Accent4 3 3 2" xfId="2918" xr:uid="{00000000-0005-0000-0000-000008060000}"/>
    <cellStyle name="40% - Accent4 3 3 2 2" xfId="7140" xr:uid="{00000000-0005-0000-0000-000009060000}"/>
    <cellStyle name="40% - Accent4 3 3 2 2 2" xfId="15590" xr:uid="{D595E512-2BB9-481B-A2FB-3139A4A6E9DF}"/>
    <cellStyle name="40% - Accent4 3 3 2 3" xfId="11372" xr:uid="{CB6C8B17-6D94-4E3A-B7BE-2BCF4FB24206}"/>
    <cellStyle name="40% - Accent4 3 3 3" xfId="4995" xr:uid="{00000000-0005-0000-0000-00000A060000}"/>
    <cellStyle name="40% - Accent4 3 3 3 2" xfId="13445" xr:uid="{DA99D53B-7C05-4B0B-B1B0-3601D6711CC8}"/>
    <cellStyle name="40% - Accent4 3 3 4" xfId="9227" xr:uid="{632135A0-D803-4EDF-9884-58E92AAAF9B3}"/>
    <cellStyle name="40% - Accent4 3 4" xfId="1100" xr:uid="{00000000-0005-0000-0000-00000B060000}"/>
    <cellStyle name="40% - Accent4 3 4 2" xfId="3331" xr:uid="{00000000-0005-0000-0000-00000C060000}"/>
    <cellStyle name="40% - Accent4 3 4 2 2" xfId="7553" xr:uid="{00000000-0005-0000-0000-00000D060000}"/>
    <cellStyle name="40% - Accent4 3 4 2 2 2" xfId="16003" xr:uid="{8E31C34B-7A5E-4E29-BCE1-32286E9C3CAE}"/>
    <cellStyle name="40% - Accent4 3 4 2 3" xfId="11785" xr:uid="{C0A331DC-40D3-4918-970A-AEFC50938DED}"/>
    <cellStyle name="40% - Accent4 3 4 3" xfId="5408" xr:uid="{00000000-0005-0000-0000-00000E060000}"/>
    <cellStyle name="40% - Accent4 3 4 3 2" xfId="13858" xr:uid="{B674155F-79F0-46C8-B17A-9A5C698138A9}"/>
    <cellStyle name="40% - Accent4 3 4 4" xfId="9640" xr:uid="{B98AC3E6-7F28-4DF3-AB31-B97AEE902B3D}"/>
    <cellStyle name="40% - Accent4 3 5" xfId="1514" xr:uid="{00000000-0005-0000-0000-00000F060000}"/>
    <cellStyle name="40% - Accent4 3 5 2" xfId="3744" xr:uid="{00000000-0005-0000-0000-000010060000}"/>
    <cellStyle name="40% - Accent4 3 5 2 2" xfId="7966" xr:uid="{00000000-0005-0000-0000-000011060000}"/>
    <cellStyle name="40% - Accent4 3 5 2 2 2" xfId="16416" xr:uid="{85A55D09-E3F9-42EE-85DF-34F7BB36C38E}"/>
    <cellStyle name="40% - Accent4 3 5 2 3" xfId="12198" xr:uid="{D07D6ED8-07BA-4D7C-8E1C-73FC39B72B4C}"/>
    <cellStyle name="40% - Accent4 3 5 3" xfId="5821" xr:uid="{00000000-0005-0000-0000-000012060000}"/>
    <cellStyle name="40% - Accent4 3 5 3 2" xfId="14271" xr:uid="{2E5835F7-A070-461A-AD74-A8A42ABE2E6C}"/>
    <cellStyle name="40% - Accent4 3 5 4" xfId="10053" xr:uid="{452CBF8A-0175-4AF0-9954-918D91CE5154}"/>
    <cellStyle name="40% - Accent4 3 6" xfId="1928" xr:uid="{00000000-0005-0000-0000-000013060000}"/>
    <cellStyle name="40% - Accent4 3 6 2" xfId="4157" xr:uid="{00000000-0005-0000-0000-000014060000}"/>
    <cellStyle name="40% - Accent4 3 6 2 2" xfId="8379" xr:uid="{00000000-0005-0000-0000-000015060000}"/>
    <cellStyle name="40% - Accent4 3 6 2 2 2" xfId="16829" xr:uid="{C3952CAA-9976-4ACC-804B-CC3FAC22B5DF}"/>
    <cellStyle name="40% - Accent4 3 6 2 3" xfId="12611" xr:uid="{9EA510AF-6A4E-4BE6-A361-53599BB4FD2B}"/>
    <cellStyle name="40% - Accent4 3 6 3" xfId="6234" xr:uid="{00000000-0005-0000-0000-000016060000}"/>
    <cellStyle name="40% - Accent4 3 6 3 2" xfId="14684" xr:uid="{A90F7D06-48B7-4621-8503-E76C6B8B2DB8}"/>
    <cellStyle name="40% - Accent4 3 6 4" xfId="10466" xr:uid="{A5511AEE-3C3F-4168-A1F5-30CE991A0BD7}"/>
    <cellStyle name="40% - Accent4 3 7" xfId="2341" xr:uid="{00000000-0005-0000-0000-000017060000}"/>
    <cellStyle name="40% - Accent4 3 7 2" xfId="6647" xr:uid="{00000000-0005-0000-0000-000018060000}"/>
    <cellStyle name="40% - Accent4 3 7 2 2" xfId="15097" xr:uid="{0D58FED7-6D31-4B82-B181-24471D8A8FD1}"/>
    <cellStyle name="40% - Accent4 3 7 3" xfId="10879" xr:uid="{C56B892B-FFF6-4B9E-917E-8772C29398D6}"/>
    <cellStyle name="40% - Accent4 3 8" xfId="4581" xr:uid="{00000000-0005-0000-0000-000019060000}"/>
    <cellStyle name="40% - Accent4 3 8 2" xfId="13031" xr:uid="{5CC39F65-CB29-4CAC-AEEF-92779C8D4F8E}"/>
    <cellStyle name="40% - Accent4 3 9" xfId="8813" xr:uid="{5693B27F-0BFB-41F6-AC75-ADA646DD832A}"/>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2 2 2" xfId="15592" xr:uid="{21760BAC-5888-4415-AFA6-58F965BA775F}"/>
    <cellStyle name="40% - Accent4 4 2 2 3" xfId="11374" xr:uid="{E3366F31-D94B-4781-9884-4D968B9D9AD8}"/>
    <cellStyle name="40% - Accent4 4 2 3" xfId="4997" xr:uid="{00000000-0005-0000-0000-00001E060000}"/>
    <cellStyle name="40% - Accent4 4 2 3 2" xfId="13447" xr:uid="{EA0EF375-10FC-4CF2-AA88-064CED64CF6E}"/>
    <cellStyle name="40% - Accent4 4 2 4" xfId="9229" xr:uid="{93AD4462-1EA5-4F57-AD4F-45139F5095C1}"/>
    <cellStyle name="40% - Accent4 4 3" xfId="1102" xr:uid="{00000000-0005-0000-0000-00001F060000}"/>
    <cellStyle name="40% - Accent4 4 3 2" xfId="3333" xr:uid="{00000000-0005-0000-0000-000020060000}"/>
    <cellStyle name="40% - Accent4 4 3 2 2" xfId="7555" xr:uid="{00000000-0005-0000-0000-000021060000}"/>
    <cellStyle name="40% - Accent4 4 3 2 2 2" xfId="16005" xr:uid="{4C76C4FE-A6AC-4E6B-B3C1-FFB3FB89159B}"/>
    <cellStyle name="40% - Accent4 4 3 2 3" xfId="11787" xr:uid="{911179D4-3824-4797-96B2-72F72418A30F}"/>
    <cellStyle name="40% - Accent4 4 3 3" xfId="5410" xr:uid="{00000000-0005-0000-0000-000022060000}"/>
    <cellStyle name="40% - Accent4 4 3 3 2" xfId="13860" xr:uid="{0996E7A5-4CB8-4CA7-A7E2-4419B949916A}"/>
    <cellStyle name="40% - Accent4 4 3 4" xfId="9642" xr:uid="{000C289E-1A02-46BE-972D-1BFA3FE104E6}"/>
    <cellStyle name="40% - Accent4 4 4" xfId="1516" xr:uid="{00000000-0005-0000-0000-000023060000}"/>
    <cellStyle name="40% - Accent4 4 4 2" xfId="3746" xr:uid="{00000000-0005-0000-0000-000024060000}"/>
    <cellStyle name="40% - Accent4 4 4 2 2" xfId="7968" xr:uid="{00000000-0005-0000-0000-000025060000}"/>
    <cellStyle name="40% - Accent4 4 4 2 2 2" xfId="16418" xr:uid="{7EDD72A2-D00D-44B5-A20A-60E30857B974}"/>
    <cellStyle name="40% - Accent4 4 4 2 3" xfId="12200" xr:uid="{F3F67996-4B4E-4302-B1D3-23208463CCC4}"/>
    <cellStyle name="40% - Accent4 4 4 3" xfId="5823" xr:uid="{00000000-0005-0000-0000-000026060000}"/>
    <cellStyle name="40% - Accent4 4 4 3 2" xfId="14273" xr:uid="{D45CCF94-F186-4EB9-9BE0-05B248B38EA1}"/>
    <cellStyle name="40% - Accent4 4 4 4" xfId="10055" xr:uid="{2E064D68-E8DA-4748-8B15-C7C6EF748DBE}"/>
    <cellStyle name="40% - Accent4 4 5" xfId="1930" xr:uid="{00000000-0005-0000-0000-000027060000}"/>
    <cellStyle name="40% - Accent4 4 5 2" xfId="4159" xr:uid="{00000000-0005-0000-0000-000028060000}"/>
    <cellStyle name="40% - Accent4 4 5 2 2" xfId="8381" xr:uid="{00000000-0005-0000-0000-000029060000}"/>
    <cellStyle name="40% - Accent4 4 5 2 2 2" xfId="16831" xr:uid="{90A6B183-FA5B-4737-B7A4-71F7FF6031DE}"/>
    <cellStyle name="40% - Accent4 4 5 2 3" xfId="12613" xr:uid="{3A71F9F0-E62F-42A5-80A9-2D48A7C67606}"/>
    <cellStyle name="40% - Accent4 4 5 3" xfId="6236" xr:uid="{00000000-0005-0000-0000-00002A060000}"/>
    <cellStyle name="40% - Accent4 4 5 3 2" xfId="14686" xr:uid="{1758C965-C1A6-4A4F-A70D-9DA9DA394BBA}"/>
    <cellStyle name="40% - Accent4 4 5 4" xfId="10468" xr:uid="{F0FFE4D1-44E7-4721-9AF7-29944EFF2E1D}"/>
    <cellStyle name="40% - Accent4 4 6" xfId="2343" xr:uid="{00000000-0005-0000-0000-00002B060000}"/>
    <cellStyle name="40% - Accent4 4 6 2" xfId="6649" xr:uid="{00000000-0005-0000-0000-00002C060000}"/>
    <cellStyle name="40% - Accent4 4 6 2 2" xfId="15099" xr:uid="{58660C40-8D1C-4303-A2FD-43C3E3182738}"/>
    <cellStyle name="40% - Accent4 4 6 3" xfId="10881" xr:uid="{FFA79231-B175-4877-A19C-27625E1228BE}"/>
    <cellStyle name="40% - Accent4 4 7" xfId="4583" xr:uid="{00000000-0005-0000-0000-00002D060000}"/>
    <cellStyle name="40% - Accent4 4 7 2" xfId="13033" xr:uid="{1EE1A83E-A4BA-481B-A627-E11DC1DAEC1D}"/>
    <cellStyle name="40% - Accent4 4 8" xfId="8815" xr:uid="{419DC93F-D87D-4901-B903-F96FA9E621DC}"/>
    <cellStyle name="40% - Accent4 5" xfId="642" xr:uid="{00000000-0005-0000-0000-00002E060000}"/>
    <cellStyle name="40% - Accent4 5 2" xfId="2913" xr:uid="{00000000-0005-0000-0000-00002F060000}"/>
    <cellStyle name="40% - Accent4 5 2 2" xfId="7135" xr:uid="{00000000-0005-0000-0000-000030060000}"/>
    <cellStyle name="40% - Accent4 5 2 2 2" xfId="15585" xr:uid="{01628B34-715F-4E9C-9E69-DDAD7BE9E8B8}"/>
    <cellStyle name="40% - Accent4 5 2 3" xfId="11367" xr:uid="{ED1D2661-F7E8-4BF3-8CA2-924A53C4438B}"/>
    <cellStyle name="40% - Accent4 5 3" xfId="4990" xr:uid="{00000000-0005-0000-0000-000031060000}"/>
    <cellStyle name="40% - Accent4 5 3 2" xfId="13440" xr:uid="{41E217C0-AA71-4D13-87F4-BD45A16A68D3}"/>
    <cellStyle name="40% - Accent4 5 4" xfId="9222" xr:uid="{378E24B0-9996-4A86-9A9E-FC05D1262584}"/>
    <cellStyle name="40% - Accent4 6" xfId="1095" xr:uid="{00000000-0005-0000-0000-000032060000}"/>
    <cellStyle name="40% - Accent4 6 2" xfId="3326" xr:uid="{00000000-0005-0000-0000-000033060000}"/>
    <cellStyle name="40% - Accent4 6 2 2" xfId="7548" xr:uid="{00000000-0005-0000-0000-000034060000}"/>
    <cellStyle name="40% - Accent4 6 2 2 2" xfId="15998" xr:uid="{3DD88D30-B887-4DB8-B11D-BCA8011C0905}"/>
    <cellStyle name="40% - Accent4 6 2 3" xfId="11780" xr:uid="{BFAB9282-4EBE-4045-AD60-03BD6CC326E3}"/>
    <cellStyle name="40% - Accent4 6 3" xfId="5403" xr:uid="{00000000-0005-0000-0000-000035060000}"/>
    <cellStyle name="40% - Accent4 6 3 2" xfId="13853" xr:uid="{2EAEB52A-3E7A-40F2-80A3-BE8ABF07788E}"/>
    <cellStyle name="40% - Accent4 6 4" xfId="9635" xr:uid="{B1EA976F-462D-4970-8642-418164D64CB1}"/>
    <cellStyle name="40% - Accent4 7" xfId="1509" xr:uid="{00000000-0005-0000-0000-000036060000}"/>
    <cellStyle name="40% - Accent4 7 2" xfId="3739" xr:uid="{00000000-0005-0000-0000-000037060000}"/>
    <cellStyle name="40% - Accent4 7 2 2" xfId="7961" xr:uid="{00000000-0005-0000-0000-000038060000}"/>
    <cellStyle name="40% - Accent4 7 2 2 2" xfId="16411" xr:uid="{EAB466C2-CE05-42A8-99AF-93754C9D5AC4}"/>
    <cellStyle name="40% - Accent4 7 2 3" xfId="12193" xr:uid="{52196806-99AE-4AA1-A885-8160D996A3AE}"/>
    <cellStyle name="40% - Accent4 7 3" xfId="5816" xr:uid="{00000000-0005-0000-0000-000039060000}"/>
    <cellStyle name="40% - Accent4 7 3 2" xfId="14266" xr:uid="{76E85231-EAE1-4E52-A9F5-0712D64956DF}"/>
    <cellStyle name="40% - Accent4 7 4" xfId="10048" xr:uid="{AA1803B9-F706-4E92-B56A-05FF25B3A6C3}"/>
    <cellStyle name="40% - Accent4 8" xfId="1923" xr:uid="{00000000-0005-0000-0000-00003A060000}"/>
    <cellStyle name="40% - Accent4 8 2" xfId="4152" xr:uid="{00000000-0005-0000-0000-00003B060000}"/>
    <cellStyle name="40% - Accent4 8 2 2" xfId="8374" xr:uid="{00000000-0005-0000-0000-00003C060000}"/>
    <cellStyle name="40% - Accent4 8 2 2 2" xfId="16824" xr:uid="{1EC9482B-4765-44A9-8D17-A78B784D5649}"/>
    <cellStyle name="40% - Accent4 8 2 3" xfId="12606" xr:uid="{9C2CA92B-4CBB-4E2F-8B09-C540058363B0}"/>
    <cellStyle name="40% - Accent4 8 3" xfId="6229" xr:uid="{00000000-0005-0000-0000-00003D060000}"/>
    <cellStyle name="40% - Accent4 8 3 2" xfId="14679" xr:uid="{B2830EBD-B340-490E-9723-5CEBD7162380}"/>
    <cellStyle name="40% - Accent4 8 4" xfId="10461" xr:uid="{A14F5EDD-815D-491E-A120-DD4210AA24D6}"/>
    <cellStyle name="40% - Accent4 9" xfId="2336" xr:uid="{00000000-0005-0000-0000-00003E060000}"/>
    <cellStyle name="40% - Accent4 9 2" xfId="6642" xr:uid="{00000000-0005-0000-0000-00003F060000}"/>
    <cellStyle name="40% - Accent4 9 2 2" xfId="15092" xr:uid="{630AE32D-D1B1-4B4A-AC26-A49BE45B8D0E}"/>
    <cellStyle name="40% - Accent4 9 3" xfId="10874" xr:uid="{BDB83831-FCBF-4CF4-B9D1-5AE60256EE37}"/>
    <cellStyle name="40% - Accent5" xfId="81" builtinId="47" customBuiltin="1"/>
    <cellStyle name="40% - Accent5 10" xfId="4584" xr:uid="{00000000-0005-0000-0000-000041060000}"/>
    <cellStyle name="40% - Accent5 10 2" xfId="13034" xr:uid="{ABACF7B3-5D44-4C57-8A59-6915467632E5}"/>
    <cellStyle name="40% - Accent5 11" xfId="8816" xr:uid="{DBC46A43-7814-4FD3-BC52-141EA0CB55A0}"/>
    <cellStyle name="40% - Accent5 2" xfId="82" xr:uid="{00000000-0005-0000-0000-000042060000}"/>
    <cellStyle name="40% - Accent5 2 10" xfId="8817" xr:uid="{18EF3D24-33A2-49C0-9A50-D3D651F9BC7C}"/>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2 2 2" xfId="15596" xr:uid="{F1C44A2D-82FA-47CC-AC18-BBA043BE568E}"/>
    <cellStyle name="40% - Accent5 2 2 2 2 2 3" xfId="11378" xr:uid="{4FF79AC1-084F-4C9C-BABB-AC74BE4BEF38}"/>
    <cellStyle name="40% - Accent5 2 2 2 2 3" xfId="5001" xr:uid="{00000000-0005-0000-0000-000048060000}"/>
    <cellStyle name="40% - Accent5 2 2 2 2 3 2" xfId="13451" xr:uid="{441B3BEC-2156-4160-8E29-656D836CC321}"/>
    <cellStyle name="40% - Accent5 2 2 2 2 4" xfId="9233" xr:uid="{1B09F313-70D0-4030-A646-102A5D393348}"/>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2 2 2" xfId="16009" xr:uid="{69751E55-E6E9-414D-83C2-372092169B5D}"/>
    <cellStyle name="40% - Accent5 2 2 2 3 2 3" xfId="11791" xr:uid="{7B635C56-584D-4AA4-92CD-2D10868C27AB}"/>
    <cellStyle name="40% - Accent5 2 2 2 3 3" xfId="5414" xr:uid="{00000000-0005-0000-0000-00004C060000}"/>
    <cellStyle name="40% - Accent5 2 2 2 3 3 2" xfId="13864" xr:uid="{14E8C21B-E9A1-4E45-AF95-2E92B3F7F867}"/>
    <cellStyle name="40% - Accent5 2 2 2 3 4" xfId="9646" xr:uid="{CE2587A7-FCA8-4D21-AF67-E764A6C17149}"/>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2 2 2" xfId="16422" xr:uid="{7CBD5089-25CD-4B18-BDB7-9BB0F8716866}"/>
    <cellStyle name="40% - Accent5 2 2 2 4 2 3" xfId="12204" xr:uid="{7CDA62D2-AA20-4ECA-BE26-65F1A68E1D69}"/>
    <cellStyle name="40% - Accent5 2 2 2 4 3" xfId="5827" xr:uid="{00000000-0005-0000-0000-000050060000}"/>
    <cellStyle name="40% - Accent5 2 2 2 4 3 2" xfId="14277" xr:uid="{5463340A-7BFF-426A-A8A1-B1CCC73E2BB7}"/>
    <cellStyle name="40% - Accent5 2 2 2 4 4" xfId="10059" xr:uid="{5B6589D2-C173-496B-8435-E8B35F95BF61}"/>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2 2 2" xfId="16835" xr:uid="{3101475D-0C59-4693-88F4-6715F6AC3DC0}"/>
    <cellStyle name="40% - Accent5 2 2 2 5 2 3" xfId="12617" xr:uid="{7F7CA4F6-9996-489A-A370-2A9E4F970F8E}"/>
    <cellStyle name="40% - Accent5 2 2 2 5 3" xfId="6240" xr:uid="{00000000-0005-0000-0000-000054060000}"/>
    <cellStyle name="40% - Accent5 2 2 2 5 3 2" xfId="14690" xr:uid="{C8588B03-3469-4A48-97E0-1D424D477206}"/>
    <cellStyle name="40% - Accent5 2 2 2 5 4" xfId="10472" xr:uid="{F806658F-E711-468A-89E7-1DB6B12856A4}"/>
    <cellStyle name="40% - Accent5 2 2 2 6" xfId="2347" xr:uid="{00000000-0005-0000-0000-000055060000}"/>
    <cellStyle name="40% - Accent5 2 2 2 6 2" xfId="6653" xr:uid="{00000000-0005-0000-0000-000056060000}"/>
    <cellStyle name="40% - Accent5 2 2 2 6 2 2" xfId="15103" xr:uid="{832B7F34-8EE4-4E5F-9F15-69AF2F121F52}"/>
    <cellStyle name="40% - Accent5 2 2 2 6 3" xfId="10885" xr:uid="{3B78C9BA-B774-4556-8799-A5B0F679A41D}"/>
    <cellStyle name="40% - Accent5 2 2 2 7" xfId="4587" xr:uid="{00000000-0005-0000-0000-000057060000}"/>
    <cellStyle name="40% - Accent5 2 2 2 7 2" xfId="13037" xr:uid="{CBE809BF-1EB5-449F-BFF1-8333DEF2AF3F}"/>
    <cellStyle name="40% - Accent5 2 2 2 8" xfId="8819" xr:uid="{21508C8F-D605-4F3A-96CB-1143D7B0EA7C}"/>
    <cellStyle name="40% - Accent5 2 2 3" xfId="652" xr:uid="{00000000-0005-0000-0000-000058060000}"/>
    <cellStyle name="40% - Accent5 2 2 3 2" xfId="2923" xr:uid="{00000000-0005-0000-0000-000059060000}"/>
    <cellStyle name="40% - Accent5 2 2 3 2 2" xfId="7145" xr:uid="{00000000-0005-0000-0000-00005A060000}"/>
    <cellStyle name="40% - Accent5 2 2 3 2 2 2" xfId="15595" xr:uid="{27E52636-C682-41C8-907E-AB11790C2030}"/>
    <cellStyle name="40% - Accent5 2 2 3 2 3" xfId="11377" xr:uid="{2F1C0A13-DC4D-4541-B5B9-2234009A1041}"/>
    <cellStyle name="40% - Accent5 2 2 3 3" xfId="5000" xr:uid="{00000000-0005-0000-0000-00005B060000}"/>
    <cellStyle name="40% - Accent5 2 2 3 3 2" xfId="13450" xr:uid="{E1778A63-9A25-47FE-AE60-52837782BD0D}"/>
    <cellStyle name="40% - Accent5 2 2 3 4" xfId="9232" xr:uid="{460DAEC6-0A23-4C41-BDC3-00EC3E61332D}"/>
    <cellStyle name="40% - Accent5 2 2 4" xfId="1105" xr:uid="{00000000-0005-0000-0000-00005C060000}"/>
    <cellStyle name="40% - Accent5 2 2 4 2" xfId="3336" xr:uid="{00000000-0005-0000-0000-00005D060000}"/>
    <cellStyle name="40% - Accent5 2 2 4 2 2" xfId="7558" xr:uid="{00000000-0005-0000-0000-00005E060000}"/>
    <cellStyle name="40% - Accent5 2 2 4 2 2 2" xfId="16008" xr:uid="{D4C62D70-383F-45BB-8298-990C81053E27}"/>
    <cellStyle name="40% - Accent5 2 2 4 2 3" xfId="11790" xr:uid="{CC9620BC-55C0-4F35-B330-FF827A7BB2E1}"/>
    <cellStyle name="40% - Accent5 2 2 4 3" xfId="5413" xr:uid="{00000000-0005-0000-0000-00005F060000}"/>
    <cellStyle name="40% - Accent5 2 2 4 3 2" xfId="13863" xr:uid="{18AF51CF-145D-427B-847F-1BEF01433697}"/>
    <cellStyle name="40% - Accent5 2 2 4 4" xfId="9645" xr:uid="{60F88CCC-9F46-4800-98CC-C4CC4FAD37E1}"/>
    <cellStyle name="40% - Accent5 2 2 5" xfId="1519" xr:uid="{00000000-0005-0000-0000-000060060000}"/>
    <cellStyle name="40% - Accent5 2 2 5 2" xfId="3749" xr:uid="{00000000-0005-0000-0000-000061060000}"/>
    <cellStyle name="40% - Accent5 2 2 5 2 2" xfId="7971" xr:uid="{00000000-0005-0000-0000-000062060000}"/>
    <cellStyle name="40% - Accent5 2 2 5 2 2 2" xfId="16421" xr:uid="{B5C6B2B4-2437-4F75-BB0C-C95B507B64CF}"/>
    <cellStyle name="40% - Accent5 2 2 5 2 3" xfId="12203" xr:uid="{35471B87-464E-4001-A660-87B09A92CBC2}"/>
    <cellStyle name="40% - Accent5 2 2 5 3" xfId="5826" xr:uid="{00000000-0005-0000-0000-000063060000}"/>
    <cellStyle name="40% - Accent5 2 2 5 3 2" xfId="14276" xr:uid="{01E8A2A2-D4A4-4686-832A-488F9F12809C}"/>
    <cellStyle name="40% - Accent5 2 2 5 4" xfId="10058" xr:uid="{0C528AEC-3BC0-46E8-BC53-7C3F3EDF0C83}"/>
    <cellStyle name="40% - Accent5 2 2 6" xfId="1933" xr:uid="{00000000-0005-0000-0000-000064060000}"/>
    <cellStyle name="40% - Accent5 2 2 6 2" xfId="4162" xr:uid="{00000000-0005-0000-0000-000065060000}"/>
    <cellStyle name="40% - Accent5 2 2 6 2 2" xfId="8384" xr:uid="{00000000-0005-0000-0000-000066060000}"/>
    <cellStyle name="40% - Accent5 2 2 6 2 2 2" xfId="16834" xr:uid="{A8F7AF48-CEA2-4D8C-B8E7-02D2708417C6}"/>
    <cellStyle name="40% - Accent5 2 2 6 2 3" xfId="12616" xr:uid="{DA97AFC5-9C2B-4BC8-85ED-72DEF62E3B3B}"/>
    <cellStyle name="40% - Accent5 2 2 6 3" xfId="6239" xr:uid="{00000000-0005-0000-0000-000067060000}"/>
    <cellStyle name="40% - Accent5 2 2 6 3 2" xfId="14689" xr:uid="{CC2DCE8B-CEBA-4C7A-AB68-253A3B6DFA92}"/>
    <cellStyle name="40% - Accent5 2 2 6 4" xfId="10471" xr:uid="{D3C1E747-81EA-4024-917C-508083C39AEB}"/>
    <cellStyle name="40% - Accent5 2 2 7" xfId="2346" xr:uid="{00000000-0005-0000-0000-000068060000}"/>
    <cellStyle name="40% - Accent5 2 2 7 2" xfId="6652" xr:uid="{00000000-0005-0000-0000-000069060000}"/>
    <cellStyle name="40% - Accent5 2 2 7 2 2" xfId="15102" xr:uid="{75FB7D2A-F735-46C2-A06F-177B3DB7647E}"/>
    <cellStyle name="40% - Accent5 2 2 7 3" xfId="10884" xr:uid="{4F813594-9FAD-44EC-BDAF-D55FD4DFCCE4}"/>
    <cellStyle name="40% - Accent5 2 2 8" xfId="4586" xr:uid="{00000000-0005-0000-0000-00006A060000}"/>
    <cellStyle name="40% - Accent5 2 2 8 2" xfId="13036" xr:uid="{14899FB6-45C1-41A6-953D-6A867E017D12}"/>
    <cellStyle name="40% - Accent5 2 2 9" xfId="8818" xr:uid="{5CAE7A74-DA6A-4D75-AFF0-0196E3B06C3D}"/>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2 2 2" xfId="15597" xr:uid="{BD4A382A-3919-402E-9712-8C405A416E55}"/>
    <cellStyle name="40% - Accent5 2 3 2 2 3" xfId="11379" xr:uid="{92807B18-8455-473F-833F-312880561CDD}"/>
    <cellStyle name="40% - Accent5 2 3 2 3" xfId="5002" xr:uid="{00000000-0005-0000-0000-00006F060000}"/>
    <cellStyle name="40% - Accent5 2 3 2 3 2" xfId="13452" xr:uid="{63ACB6E2-156E-44E4-A74B-83B3BF03DCAB}"/>
    <cellStyle name="40% - Accent5 2 3 2 4" xfId="9234" xr:uid="{A71F204E-5F0B-422E-B4A2-121BD77FE32E}"/>
    <cellStyle name="40% - Accent5 2 3 3" xfId="1107" xr:uid="{00000000-0005-0000-0000-000070060000}"/>
    <cellStyle name="40% - Accent5 2 3 3 2" xfId="3338" xr:uid="{00000000-0005-0000-0000-000071060000}"/>
    <cellStyle name="40% - Accent5 2 3 3 2 2" xfId="7560" xr:uid="{00000000-0005-0000-0000-000072060000}"/>
    <cellStyle name="40% - Accent5 2 3 3 2 2 2" xfId="16010" xr:uid="{728D9CD0-E5A2-4E89-A0FF-012A8B86784A}"/>
    <cellStyle name="40% - Accent5 2 3 3 2 3" xfId="11792" xr:uid="{32FE2261-BFA7-41C7-A1C0-334A4A43D46E}"/>
    <cellStyle name="40% - Accent5 2 3 3 3" xfId="5415" xr:uid="{00000000-0005-0000-0000-000073060000}"/>
    <cellStyle name="40% - Accent5 2 3 3 3 2" xfId="13865" xr:uid="{AA5AC0C1-271C-4D3C-B82A-3AD796626E0E}"/>
    <cellStyle name="40% - Accent5 2 3 3 4" xfId="9647" xr:uid="{71E2743D-9CD7-4363-8DB9-60B60D360AB8}"/>
    <cellStyle name="40% - Accent5 2 3 4" xfId="1521" xr:uid="{00000000-0005-0000-0000-000074060000}"/>
    <cellStyle name="40% - Accent5 2 3 4 2" xfId="3751" xr:uid="{00000000-0005-0000-0000-000075060000}"/>
    <cellStyle name="40% - Accent5 2 3 4 2 2" xfId="7973" xr:uid="{00000000-0005-0000-0000-000076060000}"/>
    <cellStyle name="40% - Accent5 2 3 4 2 2 2" xfId="16423" xr:uid="{3080345B-4D3F-4318-85D9-011DEBE59A2E}"/>
    <cellStyle name="40% - Accent5 2 3 4 2 3" xfId="12205" xr:uid="{0C3BBEE0-C621-45F0-A21A-AB50E3CBA775}"/>
    <cellStyle name="40% - Accent5 2 3 4 3" xfId="5828" xr:uid="{00000000-0005-0000-0000-000077060000}"/>
    <cellStyle name="40% - Accent5 2 3 4 3 2" xfId="14278" xr:uid="{B1C74693-CC2C-4587-8D56-623D4A53F42E}"/>
    <cellStyle name="40% - Accent5 2 3 4 4" xfId="10060" xr:uid="{D29C6C08-55CD-4C18-B05A-4DAC3EC1C623}"/>
    <cellStyle name="40% - Accent5 2 3 5" xfId="1935" xr:uid="{00000000-0005-0000-0000-000078060000}"/>
    <cellStyle name="40% - Accent5 2 3 5 2" xfId="4164" xr:uid="{00000000-0005-0000-0000-000079060000}"/>
    <cellStyle name="40% - Accent5 2 3 5 2 2" xfId="8386" xr:uid="{00000000-0005-0000-0000-00007A060000}"/>
    <cellStyle name="40% - Accent5 2 3 5 2 2 2" xfId="16836" xr:uid="{9D5EB0BB-1441-4B75-A6B9-ABD696A5DF06}"/>
    <cellStyle name="40% - Accent5 2 3 5 2 3" xfId="12618" xr:uid="{9723111F-4F30-42BD-A6CA-CB6C40DC0422}"/>
    <cellStyle name="40% - Accent5 2 3 5 3" xfId="6241" xr:uid="{00000000-0005-0000-0000-00007B060000}"/>
    <cellStyle name="40% - Accent5 2 3 5 3 2" xfId="14691" xr:uid="{E6CD1947-C788-492D-9C8D-3F1CFE36EA5D}"/>
    <cellStyle name="40% - Accent5 2 3 5 4" xfId="10473" xr:uid="{763D7A5E-2D21-4F99-9CB0-12ECDEB6E150}"/>
    <cellStyle name="40% - Accent5 2 3 6" xfId="2348" xr:uid="{00000000-0005-0000-0000-00007C060000}"/>
    <cellStyle name="40% - Accent5 2 3 6 2" xfId="6654" xr:uid="{00000000-0005-0000-0000-00007D060000}"/>
    <cellStyle name="40% - Accent5 2 3 6 2 2" xfId="15104" xr:uid="{59D491C7-A26E-4DCC-8CA9-95BC47802B27}"/>
    <cellStyle name="40% - Accent5 2 3 6 3" xfId="10886" xr:uid="{786BA472-42AC-4C9F-8E11-5657D423F6E1}"/>
    <cellStyle name="40% - Accent5 2 3 7" xfId="4588" xr:uid="{00000000-0005-0000-0000-00007E060000}"/>
    <cellStyle name="40% - Accent5 2 3 7 2" xfId="13038" xr:uid="{E58A22D9-1683-4F21-8F22-87FC14BCD4CE}"/>
    <cellStyle name="40% - Accent5 2 3 8" xfId="8820" xr:uid="{7569D072-AA9B-46C4-BBE5-2F32B236B493}"/>
    <cellStyle name="40% - Accent5 2 4" xfId="651" xr:uid="{00000000-0005-0000-0000-00007F060000}"/>
    <cellStyle name="40% - Accent5 2 4 2" xfId="2922" xr:uid="{00000000-0005-0000-0000-000080060000}"/>
    <cellStyle name="40% - Accent5 2 4 2 2" xfId="7144" xr:uid="{00000000-0005-0000-0000-000081060000}"/>
    <cellStyle name="40% - Accent5 2 4 2 2 2" xfId="15594" xr:uid="{BA4A0DE7-B970-46E1-9852-26A636A3DB03}"/>
    <cellStyle name="40% - Accent5 2 4 2 3" xfId="11376" xr:uid="{DBE0446C-B340-4378-9A16-1210E60A6219}"/>
    <cellStyle name="40% - Accent5 2 4 3" xfId="4999" xr:uid="{00000000-0005-0000-0000-000082060000}"/>
    <cellStyle name="40% - Accent5 2 4 3 2" xfId="13449" xr:uid="{367617E7-5D23-441C-95ED-8595C39851DB}"/>
    <cellStyle name="40% - Accent5 2 4 4" xfId="9231" xr:uid="{079CD153-A31F-42D3-808D-FE9E6BF0321A}"/>
    <cellStyle name="40% - Accent5 2 5" xfId="1104" xr:uid="{00000000-0005-0000-0000-000083060000}"/>
    <cellStyle name="40% - Accent5 2 5 2" xfId="3335" xr:uid="{00000000-0005-0000-0000-000084060000}"/>
    <cellStyle name="40% - Accent5 2 5 2 2" xfId="7557" xr:uid="{00000000-0005-0000-0000-000085060000}"/>
    <cellStyle name="40% - Accent5 2 5 2 2 2" xfId="16007" xr:uid="{67D19E53-858C-4CAE-8D1C-9C817AB80154}"/>
    <cellStyle name="40% - Accent5 2 5 2 3" xfId="11789" xr:uid="{01BCEA8A-EA36-4D24-BD40-D61BF7DD41A5}"/>
    <cellStyle name="40% - Accent5 2 5 3" xfId="5412" xr:uid="{00000000-0005-0000-0000-000086060000}"/>
    <cellStyle name="40% - Accent5 2 5 3 2" xfId="13862" xr:uid="{9AFD72EE-402A-4A27-9392-F10E14928608}"/>
    <cellStyle name="40% - Accent5 2 5 4" xfId="9644" xr:uid="{F6409178-C2EB-45C7-BD65-FB1900A0B992}"/>
    <cellStyle name="40% - Accent5 2 6" xfId="1518" xr:uid="{00000000-0005-0000-0000-000087060000}"/>
    <cellStyle name="40% - Accent5 2 6 2" xfId="3748" xr:uid="{00000000-0005-0000-0000-000088060000}"/>
    <cellStyle name="40% - Accent5 2 6 2 2" xfId="7970" xr:uid="{00000000-0005-0000-0000-000089060000}"/>
    <cellStyle name="40% - Accent5 2 6 2 2 2" xfId="16420" xr:uid="{FCEC090A-82E5-4A6B-8042-964F00DB14AB}"/>
    <cellStyle name="40% - Accent5 2 6 2 3" xfId="12202" xr:uid="{58F69776-C7DB-4E95-86C0-00CC19E1223E}"/>
    <cellStyle name="40% - Accent5 2 6 3" xfId="5825" xr:uid="{00000000-0005-0000-0000-00008A060000}"/>
    <cellStyle name="40% - Accent5 2 6 3 2" xfId="14275" xr:uid="{D3DDCC67-67AF-4E9D-8E1A-9C79EC025048}"/>
    <cellStyle name="40% - Accent5 2 6 4" xfId="10057" xr:uid="{953BC93B-65F4-4DCB-A752-133E1403B69C}"/>
    <cellStyle name="40% - Accent5 2 7" xfId="1932" xr:uid="{00000000-0005-0000-0000-00008B060000}"/>
    <cellStyle name="40% - Accent5 2 7 2" xfId="4161" xr:uid="{00000000-0005-0000-0000-00008C060000}"/>
    <cellStyle name="40% - Accent5 2 7 2 2" xfId="8383" xr:uid="{00000000-0005-0000-0000-00008D060000}"/>
    <cellStyle name="40% - Accent5 2 7 2 2 2" xfId="16833" xr:uid="{AD2A7D68-0B3B-4944-A32B-6597F16865D0}"/>
    <cellStyle name="40% - Accent5 2 7 2 3" xfId="12615" xr:uid="{A4B9E276-CEF5-4307-ABA7-0C43F140123D}"/>
    <cellStyle name="40% - Accent5 2 7 3" xfId="6238" xr:uid="{00000000-0005-0000-0000-00008E060000}"/>
    <cellStyle name="40% - Accent5 2 7 3 2" xfId="14688" xr:uid="{B24EBBB2-8073-4FC8-926E-4C11276F6ED4}"/>
    <cellStyle name="40% - Accent5 2 7 4" xfId="10470" xr:uid="{4C10923E-BCA8-4FE5-BB2B-1B70EC6B2ED9}"/>
    <cellStyle name="40% - Accent5 2 8" xfId="2345" xr:uid="{00000000-0005-0000-0000-00008F060000}"/>
    <cellStyle name="40% - Accent5 2 8 2" xfId="6651" xr:uid="{00000000-0005-0000-0000-000090060000}"/>
    <cellStyle name="40% - Accent5 2 8 2 2" xfId="15101" xr:uid="{913F6DCE-3ABA-4E9B-AD9C-A1639C662E72}"/>
    <cellStyle name="40% - Accent5 2 8 3" xfId="10883" xr:uid="{AD04CB27-2F88-410E-B8BA-E90C043DB94D}"/>
    <cellStyle name="40% - Accent5 2 9" xfId="4585" xr:uid="{00000000-0005-0000-0000-000091060000}"/>
    <cellStyle name="40% - Accent5 2 9 2" xfId="13035" xr:uid="{BB8B0575-C281-44BF-B8B5-159054E17995}"/>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2 2 2" xfId="15599" xr:uid="{9732BA08-3561-4ADE-B240-FC2704C5427D}"/>
    <cellStyle name="40% - Accent5 3 2 2 2 3" xfId="11381" xr:uid="{D7898301-A8EB-4EF5-8CD1-F13ADC9983F1}"/>
    <cellStyle name="40% - Accent5 3 2 2 3" xfId="5004" xr:uid="{00000000-0005-0000-0000-000097060000}"/>
    <cellStyle name="40% - Accent5 3 2 2 3 2" xfId="13454" xr:uid="{605E329E-0063-492B-AA22-74B6F1AD8292}"/>
    <cellStyle name="40% - Accent5 3 2 2 4" xfId="9236" xr:uid="{0428D77A-4062-40B3-ACF6-4DC98065DE18}"/>
    <cellStyle name="40% - Accent5 3 2 3" xfId="1109" xr:uid="{00000000-0005-0000-0000-000098060000}"/>
    <cellStyle name="40% - Accent5 3 2 3 2" xfId="3340" xr:uid="{00000000-0005-0000-0000-000099060000}"/>
    <cellStyle name="40% - Accent5 3 2 3 2 2" xfId="7562" xr:uid="{00000000-0005-0000-0000-00009A060000}"/>
    <cellStyle name="40% - Accent5 3 2 3 2 2 2" xfId="16012" xr:uid="{4DBF5294-2B29-4337-8AE4-7DD50AFA1611}"/>
    <cellStyle name="40% - Accent5 3 2 3 2 3" xfId="11794" xr:uid="{BB3CEE17-931C-448C-A304-26C1DD1CE42B}"/>
    <cellStyle name="40% - Accent5 3 2 3 3" xfId="5417" xr:uid="{00000000-0005-0000-0000-00009B060000}"/>
    <cellStyle name="40% - Accent5 3 2 3 3 2" xfId="13867" xr:uid="{FCC6CC67-CE08-44E0-9BDC-CF91B712048C}"/>
    <cellStyle name="40% - Accent5 3 2 3 4" xfId="9649" xr:uid="{7CB9D3E3-C35B-4DBD-B4CE-A213523F7F46}"/>
    <cellStyle name="40% - Accent5 3 2 4" xfId="1523" xr:uid="{00000000-0005-0000-0000-00009C060000}"/>
    <cellStyle name="40% - Accent5 3 2 4 2" xfId="3753" xr:uid="{00000000-0005-0000-0000-00009D060000}"/>
    <cellStyle name="40% - Accent5 3 2 4 2 2" xfId="7975" xr:uid="{00000000-0005-0000-0000-00009E060000}"/>
    <cellStyle name="40% - Accent5 3 2 4 2 2 2" xfId="16425" xr:uid="{72A44E3A-F560-4FA9-AF28-54EA6592B2AD}"/>
    <cellStyle name="40% - Accent5 3 2 4 2 3" xfId="12207" xr:uid="{5C8EDADF-4D27-40CA-93CC-93B4ECE9D0CC}"/>
    <cellStyle name="40% - Accent5 3 2 4 3" xfId="5830" xr:uid="{00000000-0005-0000-0000-00009F060000}"/>
    <cellStyle name="40% - Accent5 3 2 4 3 2" xfId="14280" xr:uid="{BCEB13B9-D6BC-4ECD-BAD9-C9AB5053FC31}"/>
    <cellStyle name="40% - Accent5 3 2 4 4" xfId="10062" xr:uid="{BB544797-D6A0-457D-A759-B507AA1C1A52}"/>
    <cellStyle name="40% - Accent5 3 2 5" xfId="1937" xr:uid="{00000000-0005-0000-0000-0000A0060000}"/>
    <cellStyle name="40% - Accent5 3 2 5 2" xfId="4166" xr:uid="{00000000-0005-0000-0000-0000A1060000}"/>
    <cellStyle name="40% - Accent5 3 2 5 2 2" xfId="8388" xr:uid="{00000000-0005-0000-0000-0000A2060000}"/>
    <cellStyle name="40% - Accent5 3 2 5 2 2 2" xfId="16838" xr:uid="{47925E9E-64B6-4ACA-9144-4A164C0AFEEE}"/>
    <cellStyle name="40% - Accent5 3 2 5 2 3" xfId="12620" xr:uid="{72293D5D-244A-4A77-9DA9-F77CF044CB1A}"/>
    <cellStyle name="40% - Accent5 3 2 5 3" xfId="6243" xr:uid="{00000000-0005-0000-0000-0000A3060000}"/>
    <cellStyle name="40% - Accent5 3 2 5 3 2" xfId="14693" xr:uid="{645420F0-DDA1-4DD5-A7E3-AD5B9A44A770}"/>
    <cellStyle name="40% - Accent5 3 2 5 4" xfId="10475" xr:uid="{0604AED2-FBC6-4B08-855F-05C1FE8EEF73}"/>
    <cellStyle name="40% - Accent5 3 2 6" xfId="2350" xr:uid="{00000000-0005-0000-0000-0000A4060000}"/>
    <cellStyle name="40% - Accent5 3 2 6 2" xfId="6656" xr:uid="{00000000-0005-0000-0000-0000A5060000}"/>
    <cellStyle name="40% - Accent5 3 2 6 2 2" xfId="15106" xr:uid="{D50956EC-CE4E-4503-9CDF-603628782352}"/>
    <cellStyle name="40% - Accent5 3 2 6 3" xfId="10888" xr:uid="{E68E01B4-E4A5-4A8B-B5E3-0A53B729EE36}"/>
    <cellStyle name="40% - Accent5 3 2 7" xfId="4590" xr:uid="{00000000-0005-0000-0000-0000A6060000}"/>
    <cellStyle name="40% - Accent5 3 2 7 2" xfId="13040" xr:uid="{0F763CF0-C5D0-404C-978C-9A686BE4B1FA}"/>
    <cellStyle name="40% - Accent5 3 2 8" xfId="8822" xr:uid="{EDD59C86-C420-4BD4-94CC-115CFD216044}"/>
    <cellStyle name="40% - Accent5 3 3" xfId="655" xr:uid="{00000000-0005-0000-0000-0000A7060000}"/>
    <cellStyle name="40% - Accent5 3 3 2" xfId="2926" xr:uid="{00000000-0005-0000-0000-0000A8060000}"/>
    <cellStyle name="40% - Accent5 3 3 2 2" xfId="7148" xr:uid="{00000000-0005-0000-0000-0000A9060000}"/>
    <cellStyle name="40% - Accent5 3 3 2 2 2" xfId="15598" xr:uid="{96DD6DC9-E074-4AB3-BBCD-0A4360A89BAF}"/>
    <cellStyle name="40% - Accent5 3 3 2 3" xfId="11380" xr:uid="{CD8EBE30-A1AE-4774-BE4A-2474F48A0DBF}"/>
    <cellStyle name="40% - Accent5 3 3 3" xfId="5003" xr:uid="{00000000-0005-0000-0000-0000AA060000}"/>
    <cellStyle name="40% - Accent5 3 3 3 2" xfId="13453" xr:uid="{D270F0A9-6A4E-40F1-B10E-24A7C1E99EAA}"/>
    <cellStyle name="40% - Accent5 3 3 4" xfId="9235" xr:uid="{AD87F173-EB38-4B1C-83A0-9EECE3398459}"/>
    <cellStyle name="40% - Accent5 3 4" xfId="1108" xr:uid="{00000000-0005-0000-0000-0000AB060000}"/>
    <cellStyle name="40% - Accent5 3 4 2" xfId="3339" xr:uid="{00000000-0005-0000-0000-0000AC060000}"/>
    <cellStyle name="40% - Accent5 3 4 2 2" xfId="7561" xr:uid="{00000000-0005-0000-0000-0000AD060000}"/>
    <cellStyle name="40% - Accent5 3 4 2 2 2" xfId="16011" xr:uid="{E4AC7EAE-1932-4840-8C30-CB48FCEA6D70}"/>
    <cellStyle name="40% - Accent5 3 4 2 3" xfId="11793" xr:uid="{DFB85DAC-2BE6-4777-9F2C-F45F72B4DDFF}"/>
    <cellStyle name="40% - Accent5 3 4 3" xfId="5416" xr:uid="{00000000-0005-0000-0000-0000AE060000}"/>
    <cellStyle name="40% - Accent5 3 4 3 2" xfId="13866" xr:uid="{44A4FC06-552B-4EDD-B226-0648409059E6}"/>
    <cellStyle name="40% - Accent5 3 4 4" xfId="9648" xr:uid="{EC783E06-291B-4D41-90A1-AF53E2CFA9F6}"/>
    <cellStyle name="40% - Accent5 3 5" xfId="1522" xr:uid="{00000000-0005-0000-0000-0000AF060000}"/>
    <cellStyle name="40% - Accent5 3 5 2" xfId="3752" xr:uid="{00000000-0005-0000-0000-0000B0060000}"/>
    <cellStyle name="40% - Accent5 3 5 2 2" xfId="7974" xr:uid="{00000000-0005-0000-0000-0000B1060000}"/>
    <cellStyle name="40% - Accent5 3 5 2 2 2" xfId="16424" xr:uid="{A029EF30-620D-4F6B-A569-A8EC5EE4C440}"/>
    <cellStyle name="40% - Accent5 3 5 2 3" xfId="12206" xr:uid="{E3A86D7D-D6A6-4C09-B280-2EAC5494E545}"/>
    <cellStyle name="40% - Accent5 3 5 3" xfId="5829" xr:uid="{00000000-0005-0000-0000-0000B2060000}"/>
    <cellStyle name="40% - Accent5 3 5 3 2" xfId="14279" xr:uid="{2A755075-8430-40C4-A2F5-78EFBA7B635C}"/>
    <cellStyle name="40% - Accent5 3 5 4" xfId="10061" xr:uid="{5FA90204-AC53-4C5C-8363-EB6BE33E6FE1}"/>
    <cellStyle name="40% - Accent5 3 6" xfId="1936" xr:uid="{00000000-0005-0000-0000-0000B3060000}"/>
    <cellStyle name="40% - Accent5 3 6 2" xfId="4165" xr:uid="{00000000-0005-0000-0000-0000B4060000}"/>
    <cellStyle name="40% - Accent5 3 6 2 2" xfId="8387" xr:uid="{00000000-0005-0000-0000-0000B5060000}"/>
    <cellStyle name="40% - Accent5 3 6 2 2 2" xfId="16837" xr:uid="{3E3B22BF-F0AD-48E4-9D59-E61EE8FF6187}"/>
    <cellStyle name="40% - Accent5 3 6 2 3" xfId="12619" xr:uid="{ABFA073A-FD4B-4C1D-886B-B8EAA5391E44}"/>
    <cellStyle name="40% - Accent5 3 6 3" xfId="6242" xr:uid="{00000000-0005-0000-0000-0000B6060000}"/>
    <cellStyle name="40% - Accent5 3 6 3 2" xfId="14692" xr:uid="{3C9DF415-4EE7-4EA7-8DD3-C30F7893A196}"/>
    <cellStyle name="40% - Accent5 3 6 4" xfId="10474" xr:uid="{5C577096-1D80-4658-9D2F-98BB098E918B}"/>
    <cellStyle name="40% - Accent5 3 7" xfId="2349" xr:uid="{00000000-0005-0000-0000-0000B7060000}"/>
    <cellStyle name="40% - Accent5 3 7 2" xfId="6655" xr:uid="{00000000-0005-0000-0000-0000B8060000}"/>
    <cellStyle name="40% - Accent5 3 7 2 2" xfId="15105" xr:uid="{FAB7FCBE-773D-4828-B912-618D4EEE9008}"/>
    <cellStyle name="40% - Accent5 3 7 3" xfId="10887" xr:uid="{E3B4CC2D-46E2-4149-895F-074E7AE21870}"/>
    <cellStyle name="40% - Accent5 3 8" xfId="4589" xr:uid="{00000000-0005-0000-0000-0000B9060000}"/>
    <cellStyle name="40% - Accent5 3 8 2" xfId="13039" xr:uid="{FA47C9F9-E51E-437E-82C7-ED8CCB8BC53F}"/>
    <cellStyle name="40% - Accent5 3 9" xfId="8821" xr:uid="{85EEB35B-7E1D-406F-AE9D-7F16EC94424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2 2 2" xfId="15600" xr:uid="{0CAFF4D9-914F-4B52-8AE5-C6BD22438E1F}"/>
    <cellStyle name="40% - Accent5 4 2 2 3" xfId="11382" xr:uid="{44AD4877-072A-41B4-85D4-F638B9A5E492}"/>
    <cellStyle name="40% - Accent5 4 2 3" xfId="5005" xr:uid="{00000000-0005-0000-0000-0000BE060000}"/>
    <cellStyle name="40% - Accent5 4 2 3 2" xfId="13455" xr:uid="{075D0548-70F8-466B-8A4F-1DDA1628F40E}"/>
    <cellStyle name="40% - Accent5 4 2 4" xfId="9237" xr:uid="{0081CF28-54C5-4CE5-B678-8AC53DF06AD6}"/>
    <cellStyle name="40% - Accent5 4 3" xfId="1110" xr:uid="{00000000-0005-0000-0000-0000BF060000}"/>
    <cellStyle name="40% - Accent5 4 3 2" xfId="3341" xr:uid="{00000000-0005-0000-0000-0000C0060000}"/>
    <cellStyle name="40% - Accent5 4 3 2 2" xfId="7563" xr:uid="{00000000-0005-0000-0000-0000C1060000}"/>
    <cellStyle name="40% - Accent5 4 3 2 2 2" xfId="16013" xr:uid="{58E855A3-9B30-4648-9B9E-EE71281334F8}"/>
    <cellStyle name="40% - Accent5 4 3 2 3" xfId="11795" xr:uid="{D737842A-0AC9-42D1-8C72-609A313F3BF3}"/>
    <cellStyle name="40% - Accent5 4 3 3" xfId="5418" xr:uid="{00000000-0005-0000-0000-0000C2060000}"/>
    <cellStyle name="40% - Accent5 4 3 3 2" xfId="13868" xr:uid="{C7F89EE5-2C53-46FE-893F-016ED6496A32}"/>
    <cellStyle name="40% - Accent5 4 3 4" xfId="9650" xr:uid="{8A95F274-D97F-4916-97DF-E40C59D0B92E}"/>
    <cellStyle name="40% - Accent5 4 4" xfId="1524" xr:uid="{00000000-0005-0000-0000-0000C3060000}"/>
    <cellStyle name="40% - Accent5 4 4 2" xfId="3754" xr:uid="{00000000-0005-0000-0000-0000C4060000}"/>
    <cellStyle name="40% - Accent5 4 4 2 2" xfId="7976" xr:uid="{00000000-0005-0000-0000-0000C5060000}"/>
    <cellStyle name="40% - Accent5 4 4 2 2 2" xfId="16426" xr:uid="{43BF903A-732E-4AD6-ABFF-D29EACF6BD80}"/>
    <cellStyle name="40% - Accent5 4 4 2 3" xfId="12208" xr:uid="{B781B50C-5EEE-4EFA-9536-A356CCAE1B77}"/>
    <cellStyle name="40% - Accent5 4 4 3" xfId="5831" xr:uid="{00000000-0005-0000-0000-0000C6060000}"/>
    <cellStyle name="40% - Accent5 4 4 3 2" xfId="14281" xr:uid="{72734EF7-4294-4E3B-85AD-4A720EEA8CE0}"/>
    <cellStyle name="40% - Accent5 4 4 4" xfId="10063" xr:uid="{263FC05E-7ADE-4DEF-815D-F9A0E754D4B0}"/>
    <cellStyle name="40% - Accent5 4 5" xfId="1938" xr:uid="{00000000-0005-0000-0000-0000C7060000}"/>
    <cellStyle name="40% - Accent5 4 5 2" xfId="4167" xr:uid="{00000000-0005-0000-0000-0000C8060000}"/>
    <cellStyle name="40% - Accent5 4 5 2 2" xfId="8389" xr:uid="{00000000-0005-0000-0000-0000C9060000}"/>
    <cellStyle name="40% - Accent5 4 5 2 2 2" xfId="16839" xr:uid="{8DBA0260-D92B-4A25-B750-939DB019BDF4}"/>
    <cellStyle name="40% - Accent5 4 5 2 3" xfId="12621" xr:uid="{B52863DA-2298-45C9-B247-74D28A36F159}"/>
    <cellStyle name="40% - Accent5 4 5 3" xfId="6244" xr:uid="{00000000-0005-0000-0000-0000CA060000}"/>
    <cellStyle name="40% - Accent5 4 5 3 2" xfId="14694" xr:uid="{BAC5AFE0-FB17-4111-9006-A6F158F9E772}"/>
    <cellStyle name="40% - Accent5 4 5 4" xfId="10476" xr:uid="{CA5758EA-13A8-486A-AB81-E1C65578F5B9}"/>
    <cellStyle name="40% - Accent5 4 6" xfId="2351" xr:uid="{00000000-0005-0000-0000-0000CB060000}"/>
    <cellStyle name="40% - Accent5 4 6 2" xfId="6657" xr:uid="{00000000-0005-0000-0000-0000CC060000}"/>
    <cellStyle name="40% - Accent5 4 6 2 2" xfId="15107" xr:uid="{F6269E0F-408D-4A60-A6F3-FC054B37C53F}"/>
    <cellStyle name="40% - Accent5 4 6 3" xfId="10889" xr:uid="{33AA4FAC-4CDC-49CD-A311-9FE1371823CE}"/>
    <cellStyle name="40% - Accent5 4 7" xfId="4591" xr:uid="{00000000-0005-0000-0000-0000CD060000}"/>
    <cellStyle name="40% - Accent5 4 7 2" xfId="13041" xr:uid="{507089DA-82AD-4229-9045-47A2C13956ED}"/>
    <cellStyle name="40% - Accent5 4 8" xfId="8823" xr:uid="{2FA54FAD-971A-45A2-A643-BF8B939DDDA8}"/>
    <cellStyle name="40% - Accent5 5" xfId="650" xr:uid="{00000000-0005-0000-0000-0000CE060000}"/>
    <cellStyle name="40% - Accent5 5 2" xfId="2921" xr:uid="{00000000-0005-0000-0000-0000CF060000}"/>
    <cellStyle name="40% - Accent5 5 2 2" xfId="7143" xr:uid="{00000000-0005-0000-0000-0000D0060000}"/>
    <cellStyle name="40% - Accent5 5 2 2 2" xfId="15593" xr:uid="{8FA4ACCA-5607-483D-99DD-3A9A4575A339}"/>
    <cellStyle name="40% - Accent5 5 2 3" xfId="11375" xr:uid="{954C4DB2-DCA5-423C-BE1A-A9327970F096}"/>
    <cellStyle name="40% - Accent5 5 3" xfId="4998" xr:uid="{00000000-0005-0000-0000-0000D1060000}"/>
    <cellStyle name="40% - Accent5 5 3 2" xfId="13448" xr:uid="{5265BB13-EFAE-44F2-A0F9-3FA87C826EB7}"/>
    <cellStyle name="40% - Accent5 5 4" xfId="9230" xr:uid="{1DE810AA-65AE-4CDF-9A47-8F5EDFDA3247}"/>
    <cellStyle name="40% - Accent5 6" xfId="1103" xr:uid="{00000000-0005-0000-0000-0000D2060000}"/>
    <cellStyle name="40% - Accent5 6 2" xfId="3334" xr:uid="{00000000-0005-0000-0000-0000D3060000}"/>
    <cellStyle name="40% - Accent5 6 2 2" xfId="7556" xr:uid="{00000000-0005-0000-0000-0000D4060000}"/>
    <cellStyle name="40% - Accent5 6 2 2 2" xfId="16006" xr:uid="{492C1CC3-8763-475E-AD54-EEC4A0F2EC5C}"/>
    <cellStyle name="40% - Accent5 6 2 3" xfId="11788" xr:uid="{EED0C49F-85F2-45DE-9BEE-E72A64EA5D57}"/>
    <cellStyle name="40% - Accent5 6 3" xfId="5411" xr:uid="{00000000-0005-0000-0000-0000D5060000}"/>
    <cellStyle name="40% - Accent5 6 3 2" xfId="13861" xr:uid="{A0FC48AE-E0E0-4958-800A-E861210039B7}"/>
    <cellStyle name="40% - Accent5 6 4" xfId="9643" xr:uid="{9B797455-B3D1-4955-9049-D158AFAF368D}"/>
    <cellStyle name="40% - Accent5 7" xfId="1517" xr:uid="{00000000-0005-0000-0000-0000D6060000}"/>
    <cellStyle name="40% - Accent5 7 2" xfId="3747" xr:uid="{00000000-0005-0000-0000-0000D7060000}"/>
    <cellStyle name="40% - Accent5 7 2 2" xfId="7969" xr:uid="{00000000-0005-0000-0000-0000D8060000}"/>
    <cellStyle name="40% - Accent5 7 2 2 2" xfId="16419" xr:uid="{CA4C8724-F3E3-4010-90AF-C97A4959A117}"/>
    <cellStyle name="40% - Accent5 7 2 3" xfId="12201" xr:uid="{0F57B8C3-F8C0-487A-8203-35F2DE246742}"/>
    <cellStyle name="40% - Accent5 7 3" xfId="5824" xr:uid="{00000000-0005-0000-0000-0000D9060000}"/>
    <cellStyle name="40% - Accent5 7 3 2" xfId="14274" xr:uid="{93F2A7A3-F3B1-440D-B691-B5F85D5A916A}"/>
    <cellStyle name="40% - Accent5 7 4" xfId="10056" xr:uid="{85BF5F44-CD4E-450A-A5D9-BC4F509DAB29}"/>
    <cellStyle name="40% - Accent5 8" xfId="1931" xr:uid="{00000000-0005-0000-0000-0000DA060000}"/>
    <cellStyle name="40% - Accent5 8 2" xfId="4160" xr:uid="{00000000-0005-0000-0000-0000DB060000}"/>
    <cellStyle name="40% - Accent5 8 2 2" xfId="8382" xr:uid="{00000000-0005-0000-0000-0000DC060000}"/>
    <cellStyle name="40% - Accent5 8 2 2 2" xfId="16832" xr:uid="{BBAC52A5-C33B-4337-A2A5-084C5CFBF2DF}"/>
    <cellStyle name="40% - Accent5 8 2 3" xfId="12614" xr:uid="{5B929356-D54E-40E8-9E9A-08ED896FCA21}"/>
    <cellStyle name="40% - Accent5 8 3" xfId="6237" xr:uid="{00000000-0005-0000-0000-0000DD060000}"/>
    <cellStyle name="40% - Accent5 8 3 2" xfId="14687" xr:uid="{E09A86E9-37CA-41E0-B29C-0F663D7ABF49}"/>
    <cellStyle name="40% - Accent5 8 4" xfId="10469" xr:uid="{424B7BCD-D372-4EC6-A050-6C0B5E926F0E}"/>
    <cellStyle name="40% - Accent5 9" xfId="2344" xr:uid="{00000000-0005-0000-0000-0000DE060000}"/>
    <cellStyle name="40% - Accent5 9 2" xfId="6650" xr:uid="{00000000-0005-0000-0000-0000DF060000}"/>
    <cellStyle name="40% - Accent5 9 2 2" xfId="15100" xr:uid="{669C615D-BEB1-40D6-8660-37343375F45C}"/>
    <cellStyle name="40% - Accent5 9 3" xfId="10882" xr:uid="{FD60E3C3-3B54-4E3C-832D-88AE1BE04664}"/>
    <cellStyle name="40% - Accent6" xfId="89" builtinId="51" customBuiltin="1"/>
    <cellStyle name="40% - Accent6 10" xfId="4592" xr:uid="{00000000-0005-0000-0000-0000E1060000}"/>
    <cellStyle name="40% - Accent6 10 2" xfId="13042" xr:uid="{31DFE7C9-1906-4449-9EBE-111046C16BCC}"/>
    <cellStyle name="40% - Accent6 11" xfId="8824" xr:uid="{AF01732D-F239-4FB1-87E7-26AC47AFAD87}"/>
    <cellStyle name="40% - Accent6 2" xfId="90" xr:uid="{00000000-0005-0000-0000-0000E2060000}"/>
    <cellStyle name="40% - Accent6 2 10" xfId="8825" xr:uid="{94B86743-7203-4A40-BC30-9EC93DA38D55}"/>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2 2 2" xfId="15604" xr:uid="{EC1406FF-2574-4E45-9D35-2A8427878230}"/>
    <cellStyle name="40% - Accent6 2 2 2 2 2 3" xfId="11386" xr:uid="{D6CEA228-9815-4CCD-91A9-C61F4F984099}"/>
    <cellStyle name="40% - Accent6 2 2 2 2 3" xfId="5009" xr:uid="{00000000-0005-0000-0000-0000E8060000}"/>
    <cellStyle name="40% - Accent6 2 2 2 2 3 2" xfId="13459" xr:uid="{EBA174FB-130A-4FEA-BF35-0342CE9F60C9}"/>
    <cellStyle name="40% - Accent6 2 2 2 2 4" xfId="9241" xr:uid="{710D4089-B99E-4F48-9E4E-D193A2A659D6}"/>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2 2 2" xfId="16017" xr:uid="{E43783F6-9D7E-44EF-9068-F7A2296C504B}"/>
    <cellStyle name="40% - Accent6 2 2 2 3 2 3" xfId="11799" xr:uid="{69DAA1A5-44A4-4781-818A-7CDF73CC5F06}"/>
    <cellStyle name="40% - Accent6 2 2 2 3 3" xfId="5422" xr:uid="{00000000-0005-0000-0000-0000EC060000}"/>
    <cellStyle name="40% - Accent6 2 2 2 3 3 2" xfId="13872" xr:uid="{093A1ACE-CC05-4E35-9186-85826DEE718A}"/>
    <cellStyle name="40% - Accent6 2 2 2 3 4" xfId="9654" xr:uid="{0F3173C9-B3E6-4318-8E5E-499D770D24A4}"/>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2 2 2" xfId="16430" xr:uid="{8D5BB063-CDE9-4190-8BEA-2D17FDCD440E}"/>
    <cellStyle name="40% - Accent6 2 2 2 4 2 3" xfId="12212" xr:uid="{D6F90309-1688-435C-B387-15C86597F48F}"/>
    <cellStyle name="40% - Accent6 2 2 2 4 3" xfId="5835" xr:uid="{00000000-0005-0000-0000-0000F0060000}"/>
    <cellStyle name="40% - Accent6 2 2 2 4 3 2" xfId="14285" xr:uid="{7EE255EC-3DBB-4974-B204-71B9CE56E7B2}"/>
    <cellStyle name="40% - Accent6 2 2 2 4 4" xfId="10067" xr:uid="{ABC0F5AD-DC46-4379-B7EE-10C524029245}"/>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2 2 2" xfId="16843" xr:uid="{BAC96ADC-CBC5-4C03-8AE7-E46304EB385F}"/>
    <cellStyle name="40% - Accent6 2 2 2 5 2 3" xfId="12625" xr:uid="{14A54577-BFE8-4305-BF94-999B9577FE4C}"/>
    <cellStyle name="40% - Accent6 2 2 2 5 3" xfId="6248" xr:uid="{00000000-0005-0000-0000-0000F4060000}"/>
    <cellStyle name="40% - Accent6 2 2 2 5 3 2" xfId="14698" xr:uid="{9901F2B0-6B81-46D0-944A-6653E3D36520}"/>
    <cellStyle name="40% - Accent6 2 2 2 5 4" xfId="10480" xr:uid="{F19EB667-6871-4991-A607-FD55FDBD0190}"/>
    <cellStyle name="40% - Accent6 2 2 2 6" xfId="2355" xr:uid="{00000000-0005-0000-0000-0000F5060000}"/>
    <cellStyle name="40% - Accent6 2 2 2 6 2" xfId="6661" xr:uid="{00000000-0005-0000-0000-0000F6060000}"/>
    <cellStyle name="40% - Accent6 2 2 2 6 2 2" xfId="15111" xr:uid="{8691B622-3C29-4A23-85AF-BCA871F33AE3}"/>
    <cellStyle name="40% - Accent6 2 2 2 6 3" xfId="10893" xr:uid="{65C7A232-2CE8-4AE8-9B02-2BCCBC13C5A7}"/>
    <cellStyle name="40% - Accent6 2 2 2 7" xfId="4595" xr:uid="{00000000-0005-0000-0000-0000F7060000}"/>
    <cellStyle name="40% - Accent6 2 2 2 7 2" xfId="13045" xr:uid="{C2A34B74-1A17-4CC6-9D7F-CFE7F99464E5}"/>
    <cellStyle name="40% - Accent6 2 2 2 8" xfId="8827" xr:uid="{20296959-AFDB-49C0-A87F-A6BC3D3AE0A0}"/>
    <cellStyle name="40% - Accent6 2 2 3" xfId="660" xr:uid="{00000000-0005-0000-0000-0000F8060000}"/>
    <cellStyle name="40% - Accent6 2 2 3 2" xfId="2931" xr:uid="{00000000-0005-0000-0000-0000F9060000}"/>
    <cellStyle name="40% - Accent6 2 2 3 2 2" xfId="7153" xr:uid="{00000000-0005-0000-0000-0000FA060000}"/>
    <cellStyle name="40% - Accent6 2 2 3 2 2 2" xfId="15603" xr:uid="{06B2A944-F0A0-43C0-8F47-A5A901A245BF}"/>
    <cellStyle name="40% - Accent6 2 2 3 2 3" xfId="11385" xr:uid="{BA968161-ED25-4BED-BDE8-B59CF1DC710C}"/>
    <cellStyle name="40% - Accent6 2 2 3 3" xfId="5008" xr:uid="{00000000-0005-0000-0000-0000FB060000}"/>
    <cellStyle name="40% - Accent6 2 2 3 3 2" xfId="13458" xr:uid="{2665D610-A16B-405D-822F-6D3404E2C140}"/>
    <cellStyle name="40% - Accent6 2 2 3 4" xfId="9240" xr:uid="{00148FFA-F852-4AA7-AD62-78B4B5A87AF5}"/>
    <cellStyle name="40% - Accent6 2 2 4" xfId="1113" xr:uid="{00000000-0005-0000-0000-0000FC060000}"/>
    <cellStyle name="40% - Accent6 2 2 4 2" xfId="3344" xr:uid="{00000000-0005-0000-0000-0000FD060000}"/>
    <cellStyle name="40% - Accent6 2 2 4 2 2" xfId="7566" xr:uid="{00000000-0005-0000-0000-0000FE060000}"/>
    <cellStyle name="40% - Accent6 2 2 4 2 2 2" xfId="16016" xr:uid="{7544D1BC-A5B6-424E-A401-69F09C06A3DE}"/>
    <cellStyle name="40% - Accent6 2 2 4 2 3" xfId="11798" xr:uid="{DC05E30A-D540-460F-BA96-F838BAB11965}"/>
    <cellStyle name="40% - Accent6 2 2 4 3" xfId="5421" xr:uid="{00000000-0005-0000-0000-0000FF060000}"/>
    <cellStyle name="40% - Accent6 2 2 4 3 2" xfId="13871" xr:uid="{6B9233BC-ED7D-48EF-8628-3E429CCA7501}"/>
    <cellStyle name="40% - Accent6 2 2 4 4" xfId="9653" xr:uid="{8E271AFF-5D1C-40EB-BC29-6CB15F5C886C}"/>
    <cellStyle name="40% - Accent6 2 2 5" xfId="1527" xr:uid="{00000000-0005-0000-0000-000000070000}"/>
    <cellStyle name="40% - Accent6 2 2 5 2" xfId="3757" xr:uid="{00000000-0005-0000-0000-000001070000}"/>
    <cellStyle name="40% - Accent6 2 2 5 2 2" xfId="7979" xr:uid="{00000000-0005-0000-0000-000002070000}"/>
    <cellStyle name="40% - Accent6 2 2 5 2 2 2" xfId="16429" xr:uid="{A01AACEF-30AC-43FD-B007-00A00C1120A9}"/>
    <cellStyle name="40% - Accent6 2 2 5 2 3" xfId="12211" xr:uid="{1B2977AA-2C23-47E2-B3B9-8ED8EE869DD1}"/>
    <cellStyle name="40% - Accent6 2 2 5 3" xfId="5834" xr:uid="{00000000-0005-0000-0000-000003070000}"/>
    <cellStyle name="40% - Accent6 2 2 5 3 2" xfId="14284" xr:uid="{4B51C8AE-E6A0-45B4-AFB1-923560699FC5}"/>
    <cellStyle name="40% - Accent6 2 2 5 4" xfId="10066" xr:uid="{872F01E5-8937-46C4-BA23-57957FAE276D}"/>
    <cellStyle name="40% - Accent6 2 2 6" xfId="1941" xr:uid="{00000000-0005-0000-0000-000004070000}"/>
    <cellStyle name="40% - Accent6 2 2 6 2" xfId="4170" xr:uid="{00000000-0005-0000-0000-000005070000}"/>
    <cellStyle name="40% - Accent6 2 2 6 2 2" xfId="8392" xr:uid="{00000000-0005-0000-0000-000006070000}"/>
    <cellStyle name="40% - Accent6 2 2 6 2 2 2" xfId="16842" xr:uid="{01109565-9DCC-4A41-B0B7-DA2ACA579EEA}"/>
    <cellStyle name="40% - Accent6 2 2 6 2 3" xfId="12624" xr:uid="{428B2560-0800-433E-BF1F-269D76FBA588}"/>
    <cellStyle name="40% - Accent6 2 2 6 3" xfId="6247" xr:uid="{00000000-0005-0000-0000-000007070000}"/>
    <cellStyle name="40% - Accent6 2 2 6 3 2" xfId="14697" xr:uid="{DF9CC3D5-4938-40F7-A88E-973FE85B6678}"/>
    <cellStyle name="40% - Accent6 2 2 6 4" xfId="10479" xr:uid="{7B819EA0-6B47-402F-A8D9-C1CA0163095D}"/>
    <cellStyle name="40% - Accent6 2 2 7" xfId="2354" xr:uid="{00000000-0005-0000-0000-000008070000}"/>
    <cellStyle name="40% - Accent6 2 2 7 2" xfId="6660" xr:uid="{00000000-0005-0000-0000-000009070000}"/>
    <cellStyle name="40% - Accent6 2 2 7 2 2" xfId="15110" xr:uid="{ABD3F89B-C7DC-4FEB-A21B-1C637B253223}"/>
    <cellStyle name="40% - Accent6 2 2 7 3" xfId="10892" xr:uid="{29B0114B-2084-41AE-9007-5F4FE6DE154E}"/>
    <cellStyle name="40% - Accent6 2 2 8" xfId="4594" xr:uid="{00000000-0005-0000-0000-00000A070000}"/>
    <cellStyle name="40% - Accent6 2 2 8 2" xfId="13044" xr:uid="{D245A7BB-56B4-4CCC-8285-C4A375949233}"/>
    <cellStyle name="40% - Accent6 2 2 9" xfId="8826" xr:uid="{2D203282-5485-4A1D-B94A-BDE0EB915EB6}"/>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2 2 2" xfId="15605" xr:uid="{ED28C148-66EF-4588-9E51-320861FD1061}"/>
    <cellStyle name="40% - Accent6 2 3 2 2 3" xfId="11387" xr:uid="{0DB17425-694A-472A-B412-50AEC61B19A5}"/>
    <cellStyle name="40% - Accent6 2 3 2 3" xfId="5010" xr:uid="{00000000-0005-0000-0000-00000F070000}"/>
    <cellStyle name="40% - Accent6 2 3 2 3 2" xfId="13460" xr:uid="{76AD2F80-F92A-46F0-9E7F-D54467EFD45E}"/>
    <cellStyle name="40% - Accent6 2 3 2 4" xfId="9242" xr:uid="{6B97FCFC-B9CF-4B1C-8651-3D5E3DE530A9}"/>
    <cellStyle name="40% - Accent6 2 3 3" xfId="1115" xr:uid="{00000000-0005-0000-0000-000010070000}"/>
    <cellStyle name="40% - Accent6 2 3 3 2" xfId="3346" xr:uid="{00000000-0005-0000-0000-000011070000}"/>
    <cellStyle name="40% - Accent6 2 3 3 2 2" xfId="7568" xr:uid="{00000000-0005-0000-0000-000012070000}"/>
    <cellStyle name="40% - Accent6 2 3 3 2 2 2" xfId="16018" xr:uid="{5AC50312-CF66-4277-A4E0-07A0E15C7A1A}"/>
    <cellStyle name="40% - Accent6 2 3 3 2 3" xfId="11800" xr:uid="{3981160C-E1BD-48F9-80E3-B69F5E6D3E89}"/>
    <cellStyle name="40% - Accent6 2 3 3 3" xfId="5423" xr:uid="{00000000-0005-0000-0000-000013070000}"/>
    <cellStyle name="40% - Accent6 2 3 3 3 2" xfId="13873" xr:uid="{15C1ECFE-0E33-4413-87E8-318759F5384F}"/>
    <cellStyle name="40% - Accent6 2 3 3 4" xfId="9655" xr:uid="{9771E0F5-5799-49D1-9BAC-EAA3E9124713}"/>
    <cellStyle name="40% - Accent6 2 3 4" xfId="1529" xr:uid="{00000000-0005-0000-0000-000014070000}"/>
    <cellStyle name="40% - Accent6 2 3 4 2" xfId="3759" xr:uid="{00000000-0005-0000-0000-000015070000}"/>
    <cellStyle name="40% - Accent6 2 3 4 2 2" xfId="7981" xr:uid="{00000000-0005-0000-0000-000016070000}"/>
    <cellStyle name="40% - Accent6 2 3 4 2 2 2" xfId="16431" xr:uid="{A34671D0-2A24-41DE-B27E-CE1469E0362D}"/>
    <cellStyle name="40% - Accent6 2 3 4 2 3" xfId="12213" xr:uid="{B853AFB2-DF4A-40E3-913B-7DC602BEA505}"/>
    <cellStyle name="40% - Accent6 2 3 4 3" xfId="5836" xr:uid="{00000000-0005-0000-0000-000017070000}"/>
    <cellStyle name="40% - Accent6 2 3 4 3 2" xfId="14286" xr:uid="{9108ACF1-DD50-4CC9-AF06-D287C619D716}"/>
    <cellStyle name="40% - Accent6 2 3 4 4" xfId="10068" xr:uid="{DE66550D-626C-4A4C-B861-C32F2CD5E6BD}"/>
    <cellStyle name="40% - Accent6 2 3 5" xfId="1943" xr:uid="{00000000-0005-0000-0000-000018070000}"/>
    <cellStyle name="40% - Accent6 2 3 5 2" xfId="4172" xr:uid="{00000000-0005-0000-0000-000019070000}"/>
    <cellStyle name="40% - Accent6 2 3 5 2 2" xfId="8394" xr:uid="{00000000-0005-0000-0000-00001A070000}"/>
    <cellStyle name="40% - Accent6 2 3 5 2 2 2" xfId="16844" xr:uid="{2D6F169B-BC5D-4BE8-872C-5A9CB501A3DF}"/>
    <cellStyle name="40% - Accent6 2 3 5 2 3" xfId="12626" xr:uid="{04F61D4A-0FD2-40BE-9678-B717A85B43A5}"/>
    <cellStyle name="40% - Accent6 2 3 5 3" xfId="6249" xr:uid="{00000000-0005-0000-0000-00001B070000}"/>
    <cellStyle name="40% - Accent6 2 3 5 3 2" xfId="14699" xr:uid="{2AF2C7DA-287E-4AEC-9087-F9417229CB1A}"/>
    <cellStyle name="40% - Accent6 2 3 5 4" xfId="10481" xr:uid="{68CD73D9-185D-4917-9822-0D0779E82416}"/>
    <cellStyle name="40% - Accent6 2 3 6" xfId="2356" xr:uid="{00000000-0005-0000-0000-00001C070000}"/>
    <cellStyle name="40% - Accent6 2 3 6 2" xfId="6662" xr:uid="{00000000-0005-0000-0000-00001D070000}"/>
    <cellStyle name="40% - Accent6 2 3 6 2 2" xfId="15112" xr:uid="{99149E85-E338-40A6-8588-8A1077BAEF10}"/>
    <cellStyle name="40% - Accent6 2 3 6 3" xfId="10894" xr:uid="{5E8BD7D9-FC90-4996-8693-F23975D94268}"/>
    <cellStyle name="40% - Accent6 2 3 7" xfId="4596" xr:uid="{00000000-0005-0000-0000-00001E070000}"/>
    <cellStyle name="40% - Accent6 2 3 7 2" xfId="13046" xr:uid="{05422213-C615-4E3D-A62D-D611683BE14A}"/>
    <cellStyle name="40% - Accent6 2 3 8" xfId="8828" xr:uid="{BEF9D402-ACB7-4300-ACBA-8FD5597598B0}"/>
    <cellStyle name="40% - Accent6 2 4" xfId="659" xr:uid="{00000000-0005-0000-0000-00001F070000}"/>
    <cellStyle name="40% - Accent6 2 4 2" xfId="2930" xr:uid="{00000000-0005-0000-0000-000020070000}"/>
    <cellStyle name="40% - Accent6 2 4 2 2" xfId="7152" xr:uid="{00000000-0005-0000-0000-000021070000}"/>
    <cellStyle name="40% - Accent6 2 4 2 2 2" xfId="15602" xr:uid="{0AAFD7B9-0645-4781-BAC4-71F351706D48}"/>
    <cellStyle name="40% - Accent6 2 4 2 3" xfId="11384" xr:uid="{75E17E77-34C2-47A3-BAE0-A342CDC57B06}"/>
    <cellStyle name="40% - Accent6 2 4 3" xfId="5007" xr:uid="{00000000-0005-0000-0000-000022070000}"/>
    <cellStyle name="40% - Accent6 2 4 3 2" xfId="13457" xr:uid="{46E14B8A-4D1E-4C7E-8278-F8F6C6AD0AC6}"/>
    <cellStyle name="40% - Accent6 2 4 4" xfId="9239" xr:uid="{5D1F4F19-5AB6-42F4-9E44-785397EB9D7D}"/>
    <cellStyle name="40% - Accent6 2 5" xfId="1112" xr:uid="{00000000-0005-0000-0000-000023070000}"/>
    <cellStyle name="40% - Accent6 2 5 2" xfId="3343" xr:uid="{00000000-0005-0000-0000-000024070000}"/>
    <cellStyle name="40% - Accent6 2 5 2 2" xfId="7565" xr:uid="{00000000-0005-0000-0000-000025070000}"/>
    <cellStyle name="40% - Accent6 2 5 2 2 2" xfId="16015" xr:uid="{2C6A9994-782B-4F3B-A5E2-EC16A7A5E8E0}"/>
    <cellStyle name="40% - Accent6 2 5 2 3" xfId="11797" xr:uid="{9AD68991-E0CB-4958-A4B8-4F1CD4967178}"/>
    <cellStyle name="40% - Accent6 2 5 3" xfId="5420" xr:uid="{00000000-0005-0000-0000-000026070000}"/>
    <cellStyle name="40% - Accent6 2 5 3 2" xfId="13870" xr:uid="{67A2DE95-55DF-439D-8FB1-FF7F542ADB96}"/>
    <cellStyle name="40% - Accent6 2 5 4" xfId="9652" xr:uid="{A56AFAF4-6840-4CD0-8D1A-9298B0DF6F04}"/>
    <cellStyle name="40% - Accent6 2 6" xfId="1526" xr:uid="{00000000-0005-0000-0000-000027070000}"/>
    <cellStyle name="40% - Accent6 2 6 2" xfId="3756" xr:uid="{00000000-0005-0000-0000-000028070000}"/>
    <cellStyle name="40% - Accent6 2 6 2 2" xfId="7978" xr:uid="{00000000-0005-0000-0000-000029070000}"/>
    <cellStyle name="40% - Accent6 2 6 2 2 2" xfId="16428" xr:uid="{FB53E38D-191A-472C-82B5-2EC59646E93E}"/>
    <cellStyle name="40% - Accent6 2 6 2 3" xfId="12210" xr:uid="{D9DBAE3F-1DEB-4C7E-8359-1C7BADD8AA0E}"/>
    <cellStyle name="40% - Accent6 2 6 3" xfId="5833" xr:uid="{00000000-0005-0000-0000-00002A070000}"/>
    <cellStyle name="40% - Accent6 2 6 3 2" xfId="14283" xr:uid="{EBDF8717-3509-492B-949C-E1CB265485EA}"/>
    <cellStyle name="40% - Accent6 2 6 4" xfId="10065" xr:uid="{ABB736D9-7A06-4DE6-9008-1925843CE8A4}"/>
    <cellStyle name="40% - Accent6 2 7" xfId="1940" xr:uid="{00000000-0005-0000-0000-00002B070000}"/>
    <cellStyle name="40% - Accent6 2 7 2" xfId="4169" xr:uid="{00000000-0005-0000-0000-00002C070000}"/>
    <cellStyle name="40% - Accent6 2 7 2 2" xfId="8391" xr:uid="{00000000-0005-0000-0000-00002D070000}"/>
    <cellStyle name="40% - Accent6 2 7 2 2 2" xfId="16841" xr:uid="{1E3D4535-E65F-4098-AA4B-CE1E623B590E}"/>
    <cellStyle name="40% - Accent6 2 7 2 3" xfId="12623" xr:uid="{A5EF193E-3A07-4382-9A91-3A1A678F3D25}"/>
    <cellStyle name="40% - Accent6 2 7 3" xfId="6246" xr:uid="{00000000-0005-0000-0000-00002E070000}"/>
    <cellStyle name="40% - Accent6 2 7 3 2" xfId="14696" xr:uid="{54563AD5-A576-45F4-B5EC-A75E89BAEA8A}"/>
    <cellStyle name="40% - Accent6 2 7 4" xfId="10478" xr:uid="{0749E752-3AA1-4B54-96F1-D9E8538640E4}"/>
    <cellStyle name="40% - Accent6 2 8" xfId="2353" xr:uid="{00000000-0005-0000-0000-00002F070000}"/>
    <cellStyle name="40% - Accent6 2 8 2" xfId="6659" xr:uid="{00000000-0005-0000-0000-000030070000}"/>
    <cellStyle name="40% - Accent6 2 8 2 2" xfId="15109" xr:uid="{3D9B443F-C28F-4EAD-A5B4-D07FADEB6027}"/>
    <cellStyle name="40% - Accent6 2 8 3" xfId="10891" xr:uid="{06045414-4223-4DF7-B1B6-70D69F08C40B}"/>
    <cellStyle name="40% - Accent6 2 9" xfId="4593" xr:uid="{00000000-0005-0000-0000-000031070000}"/>
    <cellStyle name="40% - Accent6 2 9 2" xfId="13043" xr:uid="{762F6C5E-7850-4F7C-AB78-7CBDBC6FD943}"/>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2 2 2" xfId="15607" xr:uid="{D1E681F2-72F2-467C-B049-0DA031AFCF58}"/>
    <cellStyle name="40% - Accent6 3 2 2 2 3" xfId="11389" xr:uid="{E4A45DAB-B5D3-41A3-BC92-E93F9B6DDDEE}"/>
    <cellStyle name="40% - Accent6 3 2 2 3" xfId="5012" xr:uid="{00000000-0005-0000-0000-000037070000}"/>
    <cellStyle name="40% - Accent6 3 2 2 3 2" xfId="13462" xr:uid="{8D6B258C-B714-4F88-B3BC-6570B119D4CD}"/>
    <cellStyle name="40% - Accent6 3 2 2 4" xfId="9244" xr:uid="{F664C266-D8BC-4326-804B-58184D9B09D7}"/>
    <cellStyle name="40% - Accent6 3 2 3" xfId="1117" xr:uid="{00000000-0005-0000-0000-000038070000}"/>
    <cellStyle name="40% - Accent6 3 2 3 2" xfId="3348" xr:uid="{00000000-0005-0000-0000-000039070000}"/>
    <cellStyle name="40% - Accent6 3 2 3 2 2" xfId="7570" xr:uid="{00000000-0005-0000-0000-00003A070000}"/>
    <cellStyle name="40% - Accent6 3 2 3 2 2 2" xfId="16020" xr:uid="{EA66FC09-84E1-4ED6-B247-30801EFAF7A0}"/>
    <cellStyle name="40% - Accent6 3 2 3 2 3" xfId="11802" xr:uid="{4FD90DFC-7D5E-40C4-9F49-5BD6792BDCF0}"/>
    <cellStyle name="40% - Accent6 3 2 3 3" xfId="5425" xr:uid="{00000000-0005-0000-0000-00003B070000}"/>
    <cellStyle name="40% - Accent6 3 2 3 3 2" xfId="13875" xr:uid="{0B64F603-37B6-447C-9A48-22F996738164}"/>
    <cellStyle name="40% - Accent6 3 2 3 4" xfId="9657" xr:uid="{19917B83-E589-4E23-9153-FB88253092A1}"/>
    <cellStyle name="40% - Accent6 3 2 4" xfId="1531" xr:uid="{00000000-0005-0000-0000-00003C070000}"/>
    <cellStyle name="40% - Accent6 3 2 4 2" xfId="3761" xr:uid="{00000000-0005-0000-0000-00003D070000}"/>
    <cellStyle name="40% - Accent6 3 2 4 2 2" xfId="7983" xr:uid="{00000000-0005-0000-0000-00003E070000}"/>
    <cellStyle name="40% - Accent6 3 2 4 2 2 2" xfId="16433" xr:uid="{F341C8EC-35E0-484F-9BBB-16A87C605BB9}"/>
    <cellStyle name="40% - Accent6 3 2 4 2 3" xfId="12215" xr:uid="{ABB16C7E-F822-46A7-B6E6-9E29AD85EC0A}"/>
    <cellStyle name="40% - Accent6 3 2 4 3" xfId="5838" xr:uid="{00000000-0005-0000-0000-00003F070000}"/>
    <cellStyle name="40% - Accent6 3 2 4 3 2" xfId="14288" xr:uid="{CC134707-53E1-416F-B8D7-6456CAB8E259}"/>
    <cellStyle name="40% - Accent6 3 2 4 4" xfId="10070" xr:uid="{D1FEFE71-218B-4B40-9781-0D01F6E6B3A7}"/>
    <cellStyle name="40% - Accent6 3 2 5" xfId="1945" xr:uid="{00000000-0005-0000-0000-000040070000}"/>
    <cellStyle name="40% - Accent6 3 2 5 2" xfId="4174" xr:uid="{00000000-0005-0000-0000-000041070000}"/>
    <cellStyle name="40% - Accent6 3 2 5 2 2" xfId="8396" xr:uid="{00000000-0005-0000-0000-000042070000}"/>
    <cellStyle name="40% - Accent6 3 2 5 2 2 2" xfId="16846" xr:uid="{64B44E19-2D09-40D8-811E-DC418C185455}"/>
    <cellStyle name="40% - Accent6 3 2 5 2 3" xfId="12628" xr:uid="{F8854785-E188-45F3-A5B7-98912EDBDDD9}"/>
    <cellStyle name="40% - Accent6 3 2 5 3" xfId="6251" xr:uid="{00000000-0005-0000-0000-000043070000}"/>
    <cellStyle name="40% - Accent6 3 2 5 3 2" xfId="14701" xr:uid="{E7FAD193-DEBF-4427-9084-82CDF70DFF16}"/>
    <cellStyle name="40% - Accent6 3 2 5 4" xfId="10483" xr:uid="{2F7F5D77-63A8-40C7-BA60-2863EEC5658F}"/>
    <cellStyle name="40% - Accent6 3 2 6" xfId="2358" xr:uid="{00000000-0005-0000-0000-000044070000}"/>
    <cellStyle name="40% - Accent6 3 2 6 2" xfId="6664" xr:uid="{00000000-0005-0000-0000-000045070000}"/>
    <cellStyle name="40% - Accent6 3 2 6 2 2" xfId="15114" xr:uid="{514DFB61-D951-401E-9F79-ECF435866272}"/>
    <cellStyle name="40% - Accent6 3 2 6 3" xfId="10896" xr:uid="{FBAF9D62-2703-4DB6-B72A-7290F4C28794}"/>
    <cellStyle name="40% - Accent6 3 2 7" xfId="4598" xr:uid="{00000000-0005-0000-0000-000046070000}"/>
    <cellStyle name="40% - Accent6 3 2 7 2" xfId="13048" xr:uid="{2F32CF1F-8A4A-42BA-9EAD-4C501AC96393}"/>
    <cellStyle name="40% - Accent6 3 2 8" xfId="8830" xr:uid="{63CF0AB1-5A80-4FF0-B359-B28CD3EDA9A8}"/>
    <cellStyle name="40% - Accent6 3 3" xfId="663" xr:uid="{00000000-0005-0000-0000-000047070000}"/>
    <cellStyle name="40% - Accent6 3 3 2" xfId="2934" xr:uid="{00000000-0005-0000-0000-000048070000}"/>
    <cellStyle name="40% - Accent6 3 3 2 2" xfId="7156" xr:uid="{00000000-0005-0000-0000-000049070000}"/>
    <cellStyle name="40% - Accent6 3 3 2 2 2" xfId="15606" xr:uid="{D7FC9F08-C2DE-4FF3-904F-91BF1A9020E4}"/>
    <cellStyle name="40% - Accent6 3 3 2 3" xfId="11388" xr:uid="{9A536D46-030A-4C25-B671-33F6C21D468B}"/>
    <cellStyle name="40% - Accent6 3 3 3" xfId="5011" xr:uid="{00000000-0005-0000-0000-00004A070000}"/>
    <cellStyle name="40% - Accent6 3 3 3 2" xfId="13461" xr:uid="{BBA96DA6-FFD4-4F7D-A2B9-895D3C8A0B45}"/>
    <cellStyle name="40% - Accent6 3 3 4" xfId="9243" xr:uid="{D58D43E5-D618-4C3B-8715-9CB40E6F9F8D}"/>
    <cellStyle name="40% - Accent6 3 4" xfId="1116" xr:uid="{00000000-0005-0000-0000-00004B070000}"/>
    <cellStyle name="40% - Accent6 3 4 2" xfId="3347" xr:uid="{00000000-0005-0000-0000-00004C070000}"/>
    <cellStyle name="40% - Accent6 3 4 2 2" xfId="7569" xr:uid="{00000000-0005-0000-0000-00004D070000}"/>
    <cellStyle name="40% - Accent6 3 4 2 2 2" xfId="16019" xr:uid="{2D5FC12F-BD3C-465D-B991-00663D9377D7}"/>
    <cellStyle name="40% - Accent6 3 4 2 3" xfId="11801" xr:uid="{061FC0D7-05F8-48FE-99B3-C6EF9C4DBF47}"/>
    <cellStyle name="40% - Accent6 3 4 3" xfId="5424" xr:uid="{00000000-0005-0000-0000-00004E070000}"/>
    <cellStyle name="40% - Accent6 3 4 3 2" xfId="13874" xr:uid="{1419BBCA-C714-43B2-A433-CD882A1B7E1C}"/>
    <cellStyle name="40% - Accent6 3 4 4" xfId="9656" xr:uid="{65CFAFE2-1F1A-4D88-B3AB-D44C245CAFE3}"/>
    <cellStyle name="40% - Accent6 3 5" xfId="1530" xr:uid="{00000000-0005-0000-0000-00004F070000}"/>
    <cellStyle name="40% - Accent6 3 5 2" xfId="3760" xr:uid="{00000000-0005-0000-0000-000050070000}"/>
    <cellStyle name="40% - Accent6 3 5 2 2" xfId="7982" xr:uid="{00000000-0005-0000-0000-000051070000}"/>
    <cellStyle name="40% - Accent6 3 5 2 2 2" xfId="16432" xr:uid="{A567DF9F-3024-4EC9-8BBD-8894B409519B}"/>
    <cellStyle name="40% - Accent6 3 5 2 3" xfId="12214" xr:uid="{32702FA2-A1E5-4843-A9F8-81F81DDAB3AA}"/>
    <cellStyle name="40% - Accent6 3 5 3" xfId="5837" xr:uid="{00000000-0005-0000-0000-000052070000}"/>
    <cellStyle name="40% - Accent6 3 5 3 2" xfId="14287" xr:uid="{422470E6-EB3F-4589-B395-932B4902B23C}"/>
    <cellStyle name="40% - Accent6 3 5 4" xfId="10069" xr:uid="{1D639F54-9C34-40A3-B0EF-73428EAF9925}"/>
    <cellStyle name="40% - Accent6 3 6" xfId="1944" xr:uid="{00000000-0005-0000-0000-000053070000}"/>
    <cellStyle name="40% - Accent6 3 6 2" xfId="4173" xr:uid="{00000000-0005-0000-0000-000054070000}"/>
    <cellStyle name="40% - Accent6 3 6 2 2" xfId="8395" xr:uid="{00000000-0005-0000-0000-000055070000}"/>
    <cellStyle name="40% - Accent6 3 6 2 2 2" xfId="16845" xr:uid="{54A83451-AECA-4736-AD1F-21FF29DE0F45}"/>
    <cellStyle name="40% - Accent6 3 6 2 3" xfId="12627" xr:uid="{45320001-4EFA-4E41-BF0C-A854C5DE94AA}"/>
    <cellStyle name="40% - Accent6 3 6 3" xfId="6250" xr:uid="{00000000-0005-0000-0000-000056070000}"/>
    <cellStyle name="40% - Accent6 3 6 3 2" xfId="14700" xr:uid="{626A1368-2D8A-4EF4-8D10-564700D98245}"/>
    <cellStyle name="40% - Accent6 3 6 4" xfId="10482" xr:uid="{6FAB5AD4-867D-4204-9BEC-0D2E30F82A0D}"/>
    <cellStyle name="40% - Accent6 3 7" xfId="2357" xr:uid="{00000000-0005-0000-0000-000057070000}"/>
    <cellStyle name="40% - Accent6 3 7 2" xfId="6663" xr:uid="{00000000-0005-0000-0000-000058070000}"/>
    <cellStyle name="40% - Accent6 3 7 2 2" xfId="15113" xr:uid="{FBFA89F2-CF02-4EE2-BF63-35A1539C06EB}"/>
    <cellStyle name="40% - Accent6 3 7 3" xfId="10895" xr:uid="{E5241543-C9CB-4923-83CC-BAF712901DD7}"/>
    <cellStyle name="40% - Accent6 3 8" xfId="4597" xr:uid="{00000000-0005-0000-0000-000059070000}"/>
    <cellStyle name="40% - Accent6 3 8 2" xfId="13047" xr:uid="{D7A0006B-09D9-401A-86D2-05BC86364348}"/>
    <cellStyle name="40% - Accent6 3 9" xfId="8829" xr:uid="{40159586-1BD8-4C0A-A18F-F55688412948}"/>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2 2 2" xfId="15608" xr:uid="{5187BAEB-296E-4A56-8849-CB4487927B5C}"/>
    <cellStyle name="40% - Accent6 4 2 2 3" xfId="11390" xr:uid="{D8992DD7-407D-4C97-BD6B-EBDA008E33B1}"/>
    <cellStyle name="40% - Accent6 4 2 3" xfId="5013" xr:uid="{00000000-0005-0000-0000-00005E070000}"/>
    <cellStyle name="40% - Accent6 4 2 3 2" xfId="13463" xr:uid="{909EF81E-1A50-44F6-BA9F-B9E7CF08D02F}"/>
    <cellStyle name="40% - Accent6 4 2 4" xfId="9245" xr:uid="{B13F461A-65E0-4F70-A2F2-3BAFE451B73A}"/>
    <cellStyle name="40% - Accent6 4 3" xfId="1118" xr:uid="{00000000-0005-0000-0000-00005F070000}"/>
    <cellStyle name="40% - Accent6 4 3 2" xfId="3349" xr:uid="{00000000-0005-0000-0000-000060070000}"/>
    <cellStyle name="40% - Accent6 4 3 2 2" xfId="7571" xr:uid="{00000000-0005-0000-0000-000061070000}"/>
    <cellStyle name="40% - Accent6 4 3 2 2 2" xfId="16021" xr:uid="{34A10810-D1F5-4824-9F6D-E2197D5A24CD}"/>
    <cellStyle name="40% - Accent6 4 3 2 3" xfId="11803" xr:uid="{E75B96F9-E73C-47A5-B2B6-ACA2B416BC36}"/>
    <cellStyle name="40% - Accent6 4 3 3" xfId="5426" xr:uid="{00000000-0005-0000-0000-000062070000}"/>
    <cellStyle name="40% - Accent6 4 3 3 2" xfId="13876" xr:uid="{D2755F78-99A8-4828-97A7-EA632C2B12DF}"/>
    <cellStyle name="40% - Accent6 4 3 4" xfId="9658" xr:uid="{D08AEB28-3E7A-45A2-A7BC-108E35F7479B}"/>
    <cellStyle name="40% - Accent6 4 4" xfId="1532" xr:uid="{00000000-0005-0000-0000-000063070000}"/>
    <cellStyle name="40% - Accent6 4 4 2" xfId="3762" xr:uid="{00000000-0005-0000-0000-000064070000}"/>
    <cellStyle name="40% - Accent6 4 4 2 2" xfId="7984" xr:uid="{00000000-0005-0000-0000-000065070000}"/>
    <cellStyle name="40% - Accent6 4 4 2 2 2" xfId="16434" xr:uid="{CF652CA6-8D4D-4FDD-A64A-5A671573A3C4}"/>
    <cellStyle name="40% - Accent6 4 4 2 3" xfId="12216" xr:uid="{AAE06323-9C9A-440A-BDC8-ED476C3406AC}"/>
    <cellStyle name="40% - Accent6 4 4 3" xfId="5839" xr:uid="{00000000-0005-0000-0000-000066070000}"/>
    <cellStyle name="40% - Accent6 4 4 3 2" xfId="14289" xr:uid="{7211702E-F614-4938-92D0-DD3994C4C625}"/>
    <cellStyle name="40% - Accent6 4 4 4" xfId="10071" xr:uid="{231E5E72-8514-4966-B082-FBEF76832187}"/>
    <cellStyle name="40% - Accent6 4 5" xfId="1946" xr:uid="{00000000-0005-0000-0000-000067070000}"/>
    <cellStyle name="40% - Accent6 4 5 2" xfId="4175" xr:uid="{00000000-0005-0000-0000-000068070000}"/>
    <cellStyle name="40% - Accent6 4 5 2 2" xfId="8397" xr:uid="{00000000-0005-0000-0000-000069070000}"/>
    <cellStyle name="40% - Accent6 4 5 2 2 2" xfId="16847" xr:uid="{B743D45F-D529-482D-9650-67B63A9B38E4}"/>
    <cellStyle name="40% - Accent6 4 5 2 3" xfId="12629" xr:uid="{284705CD-4C28-4D1C-B152-0495BA481C9A}"/>
    <cellStyle name="40% - Accent6 4 5 3" xfId="6252" xr:uid="{00000000-0005-0000-0000-00006A070000}"/>
    <cellStyle name="40% - Accent6 4 5 3 2" xfId="14702" xr:uid="{9837A903-9508-4076-AB55-290389648625}"/>
    <cellStyle name="40% - Accent6 4 5 4" xfId="10484" xr:uid="{5963A473-9E04-44AF-AA8A-23D057E223EA}"/>
    <cellStyle name="40% - Accent6 4 6" xfId="2359" xr:uid="{00000000-0005-0000-0000-00006B070000}"/>
    <cellStyle name="40% - Accent6 4 6 2" xfId="6665" xr:uid="{00000000-0005-0000-0000-00006C070000}"/>
    <cellStyle name="40% - Accent6 4 6 2 2" xfId="15115" xr:uid="{77F08D72-8664-45D6-9ABF-2DFC7379EC12}"/>
    <cellStyle name="40% - Accent6 4 6 3" xfId="10897" xr:uid="{4ED152A3-45F8-4E1E-9B03-BFE0EF1CBDF3}"/>
    <cellStyle name="40% - Accent6 4 7" xfId="4599" xr:uid="{00000000-0005-0000-0000-00006D070000}"/>
    <cellStyle name="40% - Accent6 4 7 2" xfId="13049" xr:uid="{DE758E00-54DE-4B2F-AEEC-F2FC440FB034}"/>
    <cellStyle name="40% - Accent6 4 8" xfId="8831" xr:uid="{3F972E28-41CA-4929-97CC-77A34D4B2204}"/>
    <cellStyle name="40% - Accent6 5" xfId="658" xr:uid="{00000000-0005-0000-0000-00006E070000}"/>
    <cellStyle name="40% - Accent6 5 2" xfId="2929" xr:uid="{00000000-0005-0000-0000-00006F070000}"/>
    <cellStyle name="40% - Accent6 5 2 2" xfId="7151" xr:uid="{00000000-0005-0000-0000-000070070000}"/>
    <cellStyle name="40% - Accent6 5 2 2 2" xfId="15601" xr:uid="{6F9CD52C-BFA8-4E4B-A00B-1C189248A662}"/>
    <cellStyle name="40% - Accent6 5 2 3" xfId="11383" xr:uid="{4A41165D-7A5F-4FFD-85CF-DCDE4237F368}"/>
    <cellStyle name="40% - Accent6 5 3" xfId="5006" xr:uid="{00000000-0005-0000-0000-000071070000}"/>
    <cellStyle name="40% - Accent6 5 3 2" xfId="13456" xr:uid="{96FD9570-684A-4814-A395-9743525712C2}"/>
    <cellStyle name="40% - Accent6 5 4" xfId="9238" xr:uid="{56CE27D8-7408-41BB-8992-865947BB1F37}"/>
    <cellStyle name="40% - Accent6 6" xfId="1111" xr:uid="{00000000-0005-0000-0000-000072070000}"/>
    <cellStyle name="40% - Accent6 6 2" xfId="3342" xr:uid="{00000000-0005-0000-0000-000073070000}"/>
    <cellStyle name="40% - Accent6 6 2 2" xfId="7564" xr:uid="{00000000-0005-0000-0000-000074070000}"/>
    <cellStyle name="40% - Accent6 6 2 2 2" xfId="16014" xr:uid="{8D31C4CE-07DE-4F16-AB9B-2390F276F456}"/>
    <cellStyle name="40% - Accent6 6 2 3" xfId="11796" xr:uid="{1FFFBCF3-2E64-4FBC-8D90-B1F193F2C79F}"/>
    <cellStyle name="40% - Accent6 6 3" xfId="5419" xr:uid="{00000000-0005-0000-0000-000075070000}"/>
    <cellStyle name="40% - Accent6 6 3 2" xfId="13869" xr:uid="{F5B3DACF-D374-4737-BDC9-4A0F36CC733B}"/>
    <cellStyle name="40% - Accent6 6 4" xfId="9651" xr:uid="{528FB96E-A61A-4373-886D-F3DDEC881259}"/>
    <cellStyle name="40% - Accent6 7" xfId="1525" xr:uid="{00000000-0005-0000-0000-000076070000}"/>
    <cellStyle name="40% - Accent6 7 2" xfId="3755" xr:uid="{00000000-0005-0000-0000-000077070000}"/>
    <cellStyle name="40% - Accent6 7 2 2" xfId="7977" xr:uid="{00000000-0005-0000-0000-000078070000}"/>
    <cellStyle name="40% - Accent6 7 2 2 2" xfId="16427" xr:uid="{37E0AC0F-4094-4FB6-8CDC-D45DE238D57D}"/>
    <cellStyle name="40% - Accent6 7 2 3" xfId="12209" xr:uid="{6F73F4AC-5D13-4FB8-8C6D-A5ABB5E71A53}"/>
    <cellStyle name="40% - Accent6 7 3" xfId="5832" xr:uid="{00000000-0005-0000-0000-000079070000}"/>
    <cellStyle name="40% - Accent6 7 3 2" xfId="14282" xr:uid="{00838854-CE7A-4D82-B53A-13E42F3DA2A3}"/>
    <cellStyle name="40% - Accent6 7 4" xfId="10064" xr:uid="{87C4EA4B-4CB4-4419-B3AC-F87C0FC77CEA}"/>
    <cellStyle name="40% - Accent6 8" xfId="1939" xr:uid="{00000000-0005-0000-0000-00007A070000}"/>
    <cellStyle name="40% - Accent6 8 2" xfId="4168" xr:uid="{00000000-0005-0000-0000-00007B070000}"/>
    <cellStyle name="40% - Accent6 8 2 2" xfId="8390" xr:uid="{00000000-0005-0000-0000-00007C070000}"/>
    <cellStyle name="40% - Accent6 8 2 2 2" xfId="16840" xr:uid="{6F9C271C-EDA4-4FF7-B021-B80E92455FCD}"/>
    <cellStyle name="40% - Accent6 8 2 3" xfId="12622" xr:uid="{E6B3BF55-32FE-4B04-9DDE-7D8C6DE69564}"/>
    <cellStyle name="40% - Accent6 8 3" xfId="6245" xr:uid="{00000000-0005-0000-0000-00007D070000}"/>
    <cellStyle name="40% - Accent6 8 3 2" xfId="14695" xr:uid="{8D8BABC0-A147-423A-B814-60EC762B8C3D}"/>
    <cellStyle name="40% - Accent6 8 4" xfId="10477" xr:uid="{5B574BD7-52DB-4E3E-8455-B340C2DAF507}"/>
    <cellStyle name="40% - Accent6 9" xfId="2352" xr:uid="{00000000-0005-0000-0000-00007E070000}"/>
    <cellStyle name="40% - Accent6 9 2" xfId="6658" xr:uid="{00000000-0005-0000-0000-00007F070000}"/>
    <cellStyle name="40% - Accent6 9 2 2" xfId="15108" xr:uid="{1048ECD3-DE09-42DF-A8EA-82064FA88001}"/>
    <cellStyle name="40% - Accent6 9 3" xfId="10890" xr:uid="{5BE163CA-5391-402C-8894-2968181E77C3}"/>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0 2 2" xfId="15433" xr:uid="{2457F2B5-994B-4D66-875D-FFA224DFB7B9}"/>
    <cellStyle name="Comma 4 2 2 2 10 3" xfId="11215" xr:uid="{C56649CE-3310-4B12-9E32-CD785353C35D}"/>
    <cellStyle name="Comma 4 2 2 2 11" xfId="4600" xr:uid="{00000000-0005-0000-0000-0000A3070000}"/>
    <cellStyle name="Comma 4 2 2 2 11 2" xfId="13050" xr:uid="{C2564345-312E-4655-A03B-E17102B51AB7}"/>
    <cellStyle name="Comma 4 2 2 2 12" xfId="8832" xr:uid="{EEC63524-46E1-44BD-9E4A-403E51E07CFE}"/>
    <cellStyle name="Comma 4 2 2 2 2" xfId="129" xr:uid="{00000000-0005-0000-0000-0000A4070000}"/>
    <cellStyle name="Comma 4 2 2 2 2 10" xfId="4601" xr:uid="{00000000-0005-0000-0000-0000A5070000}"/>
    <cellStyle name="Comma 4 2 2 2 2 10 2" xfId="13051" xr:uid="{4A20B19B-EA27-4D92-89ED-9FDD0C15DB23}"/>
    <cellStyle name="Comma 4 2 2 2 2 11" xfId="8833" xr:uid="{7825D7C4-F6B8-4C62-880A-F7260B4D6C53}"/>
    <cellStyle name="Comma 4 2 2 2 2 2" xfId="130" xr:uid="{00000000-0005-0000-0000-0000A6070000}"/>
    <cellStyle name="Comma 4 2 2 2 2 2 10" xfId="8834" xr:uid="{0AA6DF71-1F2F-4DD1-A484-EEB75C1E5B4B}"/>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2 2 2" xfId="15611" xr:uid="{08EF9D45-6C3A-4B30-9CC4-32734587CBB2}"/>
    <cellStyle name="Comma 4 2 2 2 2 2 2 2 3" xfId="11393" xr:uid="{A750DC67-80E9-4B05-AE52-A15F68DAD7EB}"/>
    <cellStyle name="Comma 4 2 2 2 2 2 2 3" xfId="5016" xr:uid="{00000000-0005-0000-0000-0000AA070000}"/>
    <cellStyle name="Comma 4 2 2 2 2 2 2 3 2" xfId="13466" xr:uid="{8B041FF4-336F-4825-90C0-2E68E0755597}"/>
    <cellStyle name="Comma 4 2 2 2 2 2 2 4" xfId="9248" xr:uid="{FECF49D1-7FAE-46DC-B70B-5CE7682E021D}"/>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2 2 2" xfId="16024" xr:uid="{48C61F30-C116-4520-8466-D18B51CFACC4}"/>
    <cellStyle name="Comma 4 2 2 2 2 2 3 2 3" xfId="11806" xr:uid="{3AF33BC8-EB4D-48D8-8BB1-C2839DB2F84A}"/>
    <cellStyle name="Comma 4 2 2 2 2 2 3 3" xfId="5429" xr:uid="{00000000-0005-0000-0000-0000AE070000}"/>
    <cellStyle name="Comma 4 2 2 2 2 2 3 3 2" xfId="13879" xr:uid="{67ED9CA5-3398-417C-AACE-98B495A45489}"/>
    <cellStyle name="Comma 4 2 2 2 2 2 3 4" xfId="9661" xr:uid="{E9F23EEB-2774-41F8-BDEF-2FE7077DD7D4}"/>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2 2 2" xfId="16437" xr:uid="{692BAA33-D408-49F8-A942-BAAC1B3A7CD6}"/>
    <cellStyle name="Comma 4 2 2 2 2 2 4 2 3" xfId="12219" xr:uid="{62D13562-8E5E-4497-A2F7-935CF5506777}"/>
    <cellStyle name="Comma 4 2 2 2 2 2 4 3" xfId="5842" xr:uid="{00000000-0005-0000-0000-0000B2070000}"/>
    <cellStyle name="Comma 4 2 2 2 2 2 4 3 2" xfId="14292" xr:uid="{F120C4F1-60F2-474C-AB6E-0BE70E8EE897}"/>
    <cellStyle name="Comma 4 2 2 2 2 2 4 4" xfId="10074" xr:uid="{5DFBDF34-F3F1-48D4-A865-44D6B01928FE}"/>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2 2 2" xfId="16850" xr:uid="{7CFA39E1-397C-40F9-994B-B6562B080619}"/>
    <cellStyle name="Comma 4 2 2 2 2 2 5 2 3" xfId="12632" xr:uid="{0B000645-EE98-4F83-8BA5-E6AFFF209853}"/>
    <cellStyle name="Comma 4 2 2 2 2 2 5 3" xfId="6255" xr:uid="{00000000-0005-0000-0000-0000B6070000}"/>
    <cellStyle name="Comma 4 2 2 2 2 2 5 3 2" xfId="14705" xr:uid="{AAEE6D60-AB29-4C5C-BCB4-8DB0374561DC}"/>
    <cellStyle name="Comma 4 2 2 2 2 2 5 4" xfId="10487" xr:uid="{0E6E8E0A-6B15-49FB-ACA1-96ECEAB53EBF}"/>
    <cellStyle name="Comma 4 2 2 2 2 2 6" xfId="2384" xr:uid="{00000000-0005-0000-0000-0000B7070000}"/>
    <cellStyle name="Comma 4 2 2 2 2 2 6 2" xfId="6668" xr:uid="{00000000-0005-0000-0000-0000B8070000}"/>
    <cellStyle name="Comma 4 2 2 2 2 2 6 2 2" xfId="15118" xr:uid="{6032E3E5-02EC-4A47-915B-DD665DB52B81}"/>
    <cellStyle name="Comma 4 2 2 2 2 2 6 3" xfId="10900" xr:uid="{8D71C6B7-93F4-4530-8263-2045A77B1C02}"/>
    <cellStyle name="Comma 4 2 2 2 2 2 7" xfId="2379" xr:uid="{00000000-0005-0000-0000-0000B9070000}"/>
    <cellStyle name="Comma 4 2 2 2 2 2 8" xfId="2762" xr:uid="{00000000-0005-0000-0000-0000BA070000}"/>
    <cellStyle name="Comma 4 2 2 2 2 2 8 2" xfId="6985" xr:uid="{00000000-0005-0000-0000-0000BB070000}"/>
    <cellStyle name="Comma 4 2 2 2 2 2 8 2 2" xfId="15435" xr:uid="{AAEA181E-9832-4040-A243-1BAACCE77258}"/>
    <cellStyle name="Comma 4 2 2 2 2 2 8 3" xfId="11217" xr:uid="{56B87800-024F-4544-8F65-4B2AC8D22AE2}"/>
    <cellStyle name="Comma 4 2 2 2 2 2 9" xfId="4602" xr:uid="{00000000-0005-0000-0000-0000BC070000}"/>
    <cellStyle name="Comma 4 2 2 2 2 2 9 2" xfId="13052" xr:uid="{783253A1-095F-4067-A117-02BC99261449}"/>
    <cellStyle name="Comma 4 2 2 2 2 3" xfId="667" xr:uid="{00000000-0005-0000-0000-0000BD070000}"/>
    <cellStyle name="Comma 4 2 2 2 2 3 2" xfId="2938" xr:uid="{00000000-0005-0000-0000-0000BE070000}"/>
    <cellStyle name="Comma 4 2 2 2 2 3 2 2" xfId="7160" xr:uid="{00000000-0005-0000-0000-0000BF070000}"/>
    <cellStyle name="Comma 4 2 2 2 2 3 2 2 2" xfId="15610" xr:uid="{16C3B20F-8733-49EC-87F3-85F6EB5D9909}"/>
    <cellStyle name="Comma 4 2 2 2 2 3 2 3" xfId="11392" xr:uid="{15B647A2-00E2-4FB8-BC30-B307B39CE038}"/>
    <cellStyle name="Comma 4 2 2 2 2 3 3" xfId="5015" xr:uid="{00000000-0005-0000-0000-0000C0070000}"/>
    <cellStyle name="Comma 4 2 2 2 2 3 3 2" xfId="13465" xr:uid="{37E4D6A3-6D90-448C-B28D-27EECE01708D}"/>
    <cellStyle name="Comma 4 2 2 2 2 3 4" xfId="9247" xr:uid="{400273D3-25CB-41DB-BCBD-94717F887C45}"/>
    <cellStyle name="Comma 4 2 2 2 2 4" xfId="1120" xr:uid="{00000000-0005-0000-0000-0000C1070000}"/>
    <cellStyle name="Comma 4 2 2 2 2 4 2" xfId="3351" xr:uid="{00000000-0005-0000-0000-0000C2070000}"/>
    <cellStyle name="Comma 4 2 2 2 2 4 2 2" xfId="7573" xr:uid="{00000000-0005-0000-0000-0000C3070000}"/>
    <cellStyle name="Comma 4 2 2 2 2 4 2 2 2" xfId="16023" xr:uid="{9C7B602A-26DF-49E3-8DFA-2EEA724D2237}"/>
    <cellStyle name="Comma 4 2 2 2 2 4 2 3" xfId="11805" xr:uid="{033A3F13-9BBE-454E-8961-F1198A934C05}"/>
    <cellStyle name="Comma 4 2 2 2 2 4 3" xfId="5428" xr:uid="{00000000-0005-0000-0000-0000C4070000}"/>
    <cellStyle name="Comma 4 2 2 2 2 4 3 2" xfId="13878" xr:uid="{42CACC8D-ED6E-4BD2-925C-BA50E6DF495F}"/>
    <cellStyle name="Comma 4 2 2 2 2 4 4" xfId="9660" xr:uid="{090CEEC9-6161-4AF6-9E63-1E4ED682A99B}"/>
    <cellStyle name="Comma 4 2 2 2 2 5" xfId="1534" xr:uid="{00000000-0005-0000-0000-0000C5070000}"/>
    <cellStyle name="Comma 4 2 2 2 2 5 2" xfId="3764" xr:uid="{00000000-0005-0000-0000-0000C6070000}"/>
    <cellStyle name="Comma 4 2 2 2 2 5 2 2" xfId="7986" xr:uid="{00000000-0005-0000-0000-0000C7070000}"/>
    <cellStyle name="Comma 4 2 2 2 2 5 2 2 2" xfId="16436" xr:uid="{98814E31-8750-4137-8895-CBEFC40C80C0}"/>
    <cellStyle name="Comma 4 2 2 2 2 5 2 3" xfId="12218" xr:uid="{9233C5E3-5723-483F-B2F9-1E880983761D}"/>
    <cellStyle name="Comma 4 2 2 2 2 5 3" xfId="5841" xr:uid="{00000000-0005-0000-0000-0000C8070000}"/>
    <cellStyle name="Comma 4 2 2 2 2 5 3 2" xfId="14291" xr:uid="{CD790BC3-6397-4B66-86DE-DEECBD99DDC6}"/>
    <cellStyle name="Comma 4 2 2 2 2 5 4" xfId="10073" xr:uid="{F2171178-91DE-44E1-BECC-25BBC60B1344}"/>
    <cellStyle name="Comma 4 2 2 2 2 6" xfId="1948" xr:uid="{00000000-0005-0000-0000-0000C9070000}"/>
    <cellStyle name="Comma 4 2 2 2 2 6 2" xfId="4177" xr:uid="{00000000-0005-0000-0000-0000CA070000}"/>
    <cellStyle name="Comma 4 2 2 2 2 6 2 2" xfId="8399" xr:uid="{00000000-0005-0000-0000-0000CB070000}"/>
    <cellStyle name="Comma 4 2 2 2 2 6 2 2 2" xfId="16849" xr:uid="{AA4BF6C6-A6AE-4371-98A1-0061389EA4F9}"/>
    <cellStyle name="Comma 4 2 2 2 2 6 2 3" xfId="12631" xr:uid="{808F7418-4D11-4663-ACE2-1FEA884C8FF4}"/>
    <cellStyle name="Comma 4 2 2 2 2 6 3" xfId="6254" xr:uid="{00000000-0005-0000-0000-0000CC070000}"/>
    <cellStyle name="Comma 4 2 2 2 2 6 3 2" xfId="14704" xr:uid="{053EF55F-AF62-4E13-AD14-D98124B7496B}"/>
    <cellStyle name="Comma 4 2 2 2 2 6 4" xfId="10486" xr:uid="{F863A47B-A9C8-4801-AA47-FEE346588646}"/>
    <cellStyle name="Comma 4 2 2 2 2 7" xfId="2383" xr:uid="{00000000-0005-0000-0000-0000CD070000}"/>
    <cellStyle name="Comma 4 2 2 2 2 7 2" xfId="6667" xr:uid="{00000000-0005-0000-0000-0000CE070000}"/>
    <cellStyle name="Comma 4 2 2 2 2 7 2 2" xfId="15117" xr:uid="{BE453509-0ACC-437B-909D-CE1FB99F635B}"/>
    <cellStyle name="Comma 4 2 2 2 2 7 3" xfId="10899" xr:uid="{FE9F30B6-0F77-4AEC-BADA-002D94AD2443}"/>
    <cellStyle name="Comma 4 2 2 2 2 8" xfId="2380" xr:uid="{00000000-0005-0000-0000-0000CF070000}"/>
    <cellStyle name="Comma 4 2 2 2 2 9" xfId="2761" xr:uid="{00000000-0005-0000-0000-0000D0070000}"/>
    <cellStyle name="Comma 4 2 2 2 2 9 2" xfId="6984" xr:uid="{00000000-0005-0000-0000-0000D1070000}"/>
    <cellStyle name="Comma 4 2 2 2 2 9 2 2" xfId="15434" xr:uid="{D6F9CD41-2911-48CF-B9D7-DDB4E0888C3E}"/>
    <cellStyle name="Comma 4 2 2 2 2 9 3" xfId="11216" xr:uid="{A7F0F986-616C-402F-96B9-24C57857253F}"/>
    <cellStyle name="Comma 4 2 2 2 3" xfId="131" xr:uid="{00000000-0005-0000-0000-0000D2070000}"/>
    <cellStyle name="Comma 4 2 2 2 3 10" xfId="8835" xr:uid="{8261D3CD-2567-4280-867D-5D2B8D6CD28D}"/>
    <cellStyle name="Comma 4 2 2 2 3 2" xfId="669" xr:uid="{00000000-0005-0000-0000-0000D3070000}"/>
    <cellStyle name="Comma 4 2 2 2 3 2 2" xfId="2940" xr:uid="{00000000-0005-0000-0000-0000D4070000}"/>
    <cellStyle name="Comma 4 2 2 2 3 2 2 2" xfId="7162" xr:uid="{00000000-0005-0000-0000-0000D5070000}"/>
    <cellStyle name="Comma 4 2 2 2 3 2 2 2 2" xfId="15612" xr:uid="{E05CFABE-55D7-4724-9209-CC3E80F1C492}"/>
    <cellStyle name="Comma 4 2 2 2 3 2 2 3" xfId="11394" xr:uid="{C4692993-35FD-442F-878D-F4D31DA300EB}"/>
    <cellStyle name="Comma 4 2 2 2 3 2 3" xfId="5017" xr:uid="{00000000-0005-0000-0000-0000D6070000}"/>
    <cellStyle name="Comma 4 2 2 2 3 2 3 2" xfId="13467" xr:uid="{03F3EC68-6FD0-47B1-AF80-91C417018642}"/>
    <cellStyle name="Comma 4 2 2 2 3 2 4" xfId="9249" xr:uid="{C978B9BC-F7B5-4050-95E5-7DB63366BA6F}"/>
    <cellStyle name="Comma 4 2 2 2 3 3" xfId="1122" xr:uid="{00000000-0005-0000-0000-0000D7070000}"/>
    <cellStyle name="Comma 4 2 2 2 3 3 2" xfId="3353" xr:uid="{00000000-0005-0000-0000-0000D8070000}"/>
    <cellStyle name="Comma 4 2 2 2 3 3 2 2" xfId="7575" xr:uid="{00000000-0005-0000-0000-0000D9070000}"/>
    <cellStyle name="Comma 4 2 2 2 3 3 2 2 2" xfId="16025" xr:uid="{0BEEA1DA-6E48-416A-89B5-D34637457DE0}"/>
    <cellStyle name="Comma 4 2 2 2 3 3 2 3" xfId="11807" xr:uid="{3E0BD550-CBEA-48B1-B486-EDCB19A04C7D}"/>
    <cellStyle name="Comma 4 2 2 2 3 3 3" xfId="5430" xr:uid="{00000000-0005-0000-0000-0000DA070000}"/>
    <cellStyle name="Comma 4 2 2 2 3 3 3 2" xfId="13880" xr:uid="{B9C11792-6086-407F-9813-335531BE468C}"/>
    <cellStyle name="Comma 4 2 2 2 3 3 4" xfId="9662" xr:uid="{E9F9979F-23AA-493E-AD9C-54455B86F300}"/>
    <cellStyle name="Comma 4 2 2 2 3 4" xfId="1536" xr:uid="{00000000-0005-0000-0000-0000DB070000}"/>
    <cellStyle name="Comma 4 2 2 2 3 4 2" xfId="3766" xr:uid="{00000000-0005-0000-0000-0000DC070000}"/>
    <cellStyle name="Comma 4 2 2 2 3 4 2 2" xfId="7988" xr:uid="{00000000-0005-0000-0000-0000DD070000}"/>
    <cellStyle name="Comma 4 2 2 2 3 4 2 2 2" xfId="16438" xr:uid="{A995C068-5785-4D8C-8A65-AC9B03DD3D94}"/>
    <cellStyle name="Comma 4 2 2 2 3 4 2 3" xfId="12220" xr:uid="{E2082A8E-04BE-43B7-A2E5-68152DB42EBC}"/>
    <cellStyle name="Comma 4 2 2 2 3 4 3" xfId="5843" xr:uid="{00000000-0005-0000-0000-0000DE070000}"/>
    <cellStyle name="Comma 4 2 2 2 3 4 3 2" xfId="14293" xr:uid="{CBB05215-20C4-4439-B63B-CFFA82288D9A}"/>
    <cellStyle name="Comma 4 2 2 2 3 4 4" xfId="10075" xr:uid="{AA642900-C49E-4DBA-9891-2DD0C3BE4DFD}"/>
    <cellStyle name="Comma 4 2 2 2 3 5" xfId="1950" xr:uid="{00000000-0005-0000-0000-0000DF070000}"/>
    <cellStyle name="Comma 4 2 2 2 3 5 2" xfId="4179" xr:uid="{00000000-0005-0000-0000-0000E0070000}"/>
    <cellStyle name="Comma 4 2 2 2 3 5 2 2" xfId="8401" xr:uid="{00000000-0005-0000-0000-0000E1070000}"/>
    <cellStyle name="Comma 4 2 2 2 3 5 2 2 2" xfId="16851" xr:uid="{3FABE294-BD39-469E-B28D-23F3C7266C6A}"/>
    <cellStyle name="Comma 4 2 2 2 3 5 2 3" xfId="12633" xr:uid="{0ABB4946-61C6-4BD4-AB11-7E076898E48F}"/>
    <cellStyle name="Comma 4 2 2 2 3 5 3" xfId="6256" xr:uid="{00000000-0005-0000-0000-0000E2070000}"/>
    <cellStyle name="Comma 4 2 2 2 3 5 3 2" xfId="14706" xr:uid="{9D61E6A6-3B80-42B5-9B5F-381194F726EA}"/>
    <cellStyle name="Comma 4 2 2 2 3 5 4" xfId="10488" xr:uid="{F149777E-F128-4B3F-82D2-57AE49D8D315}"/>
    <cellStyle name="Comma 4 2 2 2 3 6" xfId="2385" xr:uid="{00000000-0005-0000-0000-0000E3070000}"/>
    <cellStyle name="Comma 4 2 2 2 3 6 2" xfId="6669" xr:uid="{00000000-0005-0000-0000-0000E4070000}"/>
    <cellStyle name="Comma 4 2 2 2 3 6 2 2" xfId="15119" xr:uid="{908E682A-CAD3-4A1B-A6A0-89004BBAF6E3}"/>
    <cellStyle name="Comma 4 2 2 2 3 6 3" xfId="10901" xr:uid="{1AC4BBCA-A8F3-415A-9F07-25323ABC03C7}"/>
    <cellStyle name="Comma 4 2 2 2 3 7" xfId="2378" xr:uid="{00000000-0005-0000-0000-0000E5070000}"/>
    <cellStyle name="Comma 4 2 2 2 3 8" xfId="2763" xr:uid="{00000000-0005-0000-0000-0000E6070000}"/>
    <cellStyle name="Comma 4 2 2 2 3 8 2" xfId="6986" xr:uid="{00000000-0005-0000-0000-0000E7070000}"/>
    <cellStyle name="Comma 4 2 2 2 3 8 2 2" xfId="15436" xr:uid="{50DEA976-8FB7-4462-87E4-1C23E57740C1}"/>
    <cellStyle name="Comma 4 2 2 2 3 8 3" xfId="11218" xr:uid="{2F4B4231-3424-4FCF-A067-BAF7168C6B17}"/>
    <cellStyle name="Comma 4 2 2 2 3 9" xfId="4603" xr:uid="{00000000-0005-0000-0000-0000E8070000}"/>
    <cellStyle name="Comma 4 2 2 2 3 9 2" xfId="13053" xr:uid="{E17963D4-A662-4A08-ACEF-2E4D9BD8ECCC}"/>
    <cellStyle name="Comma 4 2 2 2 4" xfId="666" xr:uid="{00000000-0005-0000-0000-0000E9070000}"/>
    <cellStyle name="Comma 4 2 2 2 4 2" xfId="2937" xr:uid="{00000000-0005-0000-0000-0000EA070000}"/>
    <cellStyle name="Comma 4 2 2 2 4 2 2" xfId="7159" xr:uid="{00000000-0005-0000-0000-0000EB070000}"/>
    <cellStyle name="Comma 4 2 2 2 4 2 2 2" xfId="15609" xr:uid="{2EC39E5A-FC31-416E-BC4F-A9AB528F8E24}"/>
    <cellStyle name="Comma 4 2 2 2 4 2 3" xfId="11391" xr:uid="{BF3BC547-1A2C-4AD1-A125-BA1DDD702EE4}"/>
    <cellStyle name="Comma 4 2 2 2 4 3" xfId="5014" xr:uid="{00000000-0005-0000-0000-0000EC070000}"/>
    <cellStyle name="Comma 4 2 2 2 4 3 2" xfId="13464" xr:uid="{2940FA6B-048E-495C-AFA0-9A85740922B7}"/>
    <cellStyle name="Comma 4 2 2 2 4 4" xfId="9246" xr:uid="{B47C47D2-3896-455A-945C-A19F3E8C8230}"/>
    <cellStyle name="Comma 4 2 2 2 5" xfId="1119" xr:uid="{00000000-0005-0000-0000-0000ED070000}"/>
    <cellStyle name="Comma 4 2 2 2 5 2" xfId="3350" xr:uid="{00000000-0005-0000-0000-0000EE070000}"/>
    <cellStyle name="Comma 4 2 2 2 5 2 2" xfId="7572" xr:uid="{00000000-0005-0000-0000-0000EF070000}"/>
    <cellStyle name="Comma 4 2 2 2 5 2 2 2" xfId="16022" xr:uid="{B4CF8177-71F6-4A5A-B4A0-4DC8397B6E99}"/>
    <cellStyle name="Comma 4 2 2 2 5 2 3" xfId="11804" xr:uid="{2C1A02F5-85EB-404E-9C1B-D07D1144A2FE}"/>
    <cellStyle name="Comma 4 2 2 2 5 3" xfId="5427" xr:uid="{00000000-0005-0000-0000-0000F0070000}"/>
    <cellStyle name="Comma 4 2 2 2 5 3 2" xfId="13877" xr:uid="{CD24CF33-E48C-45C1-AB31-A2FDEC411695}"/>
    <cellStyle name="Comma 4 2 2 2 5 4" xfId="9659" xr:uid="{BF4B929E-B08E-4E05-9900-7FB27BE65CEC}"/>
    <cellStyle name="Comma 4 2 2 2 6" xfId="1533" xr:uid="{00000000-0005-0000-0000-0000F1070000}"/>
    <cellStyle name="Comma 4 2 2 2 6 2" xfId="3763" xr:uid="{00000000-0005-0000-0000-0000F2070000}"/>
    <cellStyle name="Comma 4 2 2 2 6 2 2" xfId="7985" xr:uid="{00000000-0005-0000-0000-0000F3070000}"/>
    <cellStyle name="Comma 4 2 2 2 6 2 2 2" xfId="16435" xr:uid="{50877D20-A7BE-4D0E-92EE-B0B6E34ED70E}"/>
    <cellStyle name="Comma 4 2 2 2 6 2 3" xfId="12217" xr:uid="{4DE30665-4C26-4FBA-A979-10C39DC0B519}"/>
    <cellStyle name="Comma 4 2 2 2 6 3" xfId="5840" xr:uid="{00000000-0005-0000-0000-0000F4070000}"/>
    <cellStyle name="Comma 4 2 2 2 6 3 2" xfId="14290" xr:uid="{4C1A9B34-3B42-41A6-A608-6779A52D6225}"/>
    <cellStyle name="Comma 4 2 2 2 6 4" xfId="10072" xr:uid="{D46F2AC6-BAE1-43A8-9888-59CD0017BA53}"/>
    <cellStyle name="Comma 4 2 2 2 7" xfId="1947" xr:uid="{00000000-0005-0000-0000-0000F5070000}"/>
    <cellStyle name="Comma 4 2 2 2 7 2" xfId="4176" xr:uid="{00000000-0005-0000-0000-0000F6070000}"/>
    <cellStyle name="Comma 4 2 2 2 7 2 2" xfId="8398" xr:uid="{00000000-0005-0000-0000-0000F7070000}"/>
    <cellStyle name="Comma 4 2 2 2 7 2 2 2" xfId="16848" xr:uid="{7E43044C-5D05-460E-B411-AB7756F4978C}"/>
    <cellStyle name="Comma 4 2 2 2 7 2 3" xfId="12630" xr:uid="{514EAEB3-FFD0-4D9C-A3DE-BA0CE18AA4B3}"/>
    <cellStyle name="Comma 4 2 2 2 7 3" xfId="6253" xr:uid="{00000000-0005-0000-0000-0000F8070000}"/>
    <cellStyle name="Comma 4 2 2 2 7 3 2" xfId="14703" xr:uid="{A3D38925-D8BC-44DB-AEB9-2601594B9A68}"/>
    <cellStyle name="Comma 4 2 2 2 7 4" xfId="10485" xr:uid="{BFCEF221-E858-44B8-8196-F2EAF9C8D175}"/>
    <cellStyle name="Comma 4 2 2 2 8" xfId="2382" xr:uid="{00000000-0005-0000-0000-0000F9070000}"/>
    <cellStyle name="Comma 4 2 2 2 8 2" xfId="6666" xr:uid="{00000000-0005-0000-0000-0000FA070000}"/>
    <cellStyle name="Comma 4 2 2 2 8 2 2" xfId="15116" xr:uid="{DADE6599-EE18-45C7-B71B-E443888253AA}"/>
    <cellStyle name="Comma 4 2 2 2 8 3" xfId="10898" xr:uid="{CC025B27-BC0E-41D9-9FC4-856FD154E671}"/>
    <cellStyle name="Comma 4 2 2 2 9" xfId="2381" xr:uid="{00000000-0005-0000-0000-0000FB070000}"/>
    <cellStyle name="Comma 4 2 2 3" xfId="132" xr:uid="{00000000-0005-0000-0000-0000FC070000}"/>
    <cellStyle name="Comma 4 2 2 3 10" xfId="4604" xr:uid="{00000000-0005-0000-0000-0000FD070000}"/>
    <cellStyle name="Comma 4 2 2 3 10 2" xfId="13054" xr:uid="{728142FD-C9BF-49E2-8E7D-DE997160BF90}"/>
    <cellStyle name="Comma 4 2 2 3 11" xfId="8836" xr:uid="{2CA31B78-9B75-4770-BE54-F27C13E6F185}"/>
    <cellStyle name="Comma 4 2 2 3 2" xfId="133" xr:uid="{00000000-0005-0000-0000-0000FE070000}"/>
    <cellStyle name="Comma 4 2 2 3 2 10" xfId="8837" xr:uid="{4BC98F41-1661-4EFB-A370-62E67DCCE099}"/>
    <cellStyle name="Comma 4 2 2 3 2 2" xfId="671" xr:uid="{00000000-0005-0000-0000-0000FF070000}"/>
    <cellStyle name="Comma 4 2 2 3 2 2 2" xfId="2942" xr:uid="{00000000-0005-0000-0000-000000080000}"/>
    <cellStyle name="Comma 4 2 2 3 2 2 2 2" xfId="7164" xr:uid="{00000000-0005-0000-0000-000001080000}"/>
    <cellStyle name="Comma 4 2 2 3 2 2 2 2 2" xfId="15614" xr:uid="{89DE15A0-C72D-415A-A95B-F221126F5FD3}"/>
    <cellStyle name="Comma 4 2 2 3 2 2 2 3" xfId="11396" xr:uid="{D2C820E3-1536-42F4-9577-2766CD1F5E56}"/>
    <cellStyle name="Comma 4 2 2 3 2 2 3" xfId="5019" xr:uid="{00000000-0005-0000-0000-000002080000}"/>
    <cellStyle name="Comma 4 2 2 3 2 2 3 2" xfId="13469" xr:uid="{BAD34B46-67DD-4C28-AC51-DFBC4A171F20}"/>
    <cellStyle name="Comma 4 2 2 3 2 2 4" xfId="9251" xr:uid="{1590469C-F27B-4B8C-9BFA-BFD171237B4F}"/>
    <cellStyle name="Comma 4 2 2 3 2 3" xfId="1124" xr:uid="{00000000-0005-0000-0000-000003080000}"/>
    <cellStyle name="Comma 4 2 2 3 2 3 2" xfId="3355" xr:uid="{00000000-0005-0000-0000-000004080000}"/>
    <cellStyle name="Comma 4 2 2 3 2 3 2 2" xfId="7577" xr:uid="{00000000-0005-0000-0000-000005080000}"/>
    <cellStyle name="Comma 4 2 2 3 2 3 2 2 2" xfId="16027" xr:uid="{AA42336F-BB2D-4979-A4E6-D2529E8C8443}"/>
    <cellStyle name="Comma 4 2 2 3 2 3 2 3" xfId="11809" xr:uid="{35F1FB9D-441B-47D6-AB4C-971593386FFF}"/>
    <cellStyle name="Comma 4 2 2 3 2 3 3" xfId="5432" xr:uid="{00000000-0005-0000-0000-000006080000}"/>
    <cellStyle name="Comma 4 2 2 3 2 3 3 2" xfId="13882" xr:uid="{161630B5-4B25-48F8-9277-715EAD88C80F}"/>
    <cellStyle name="Comma 4 2 2 3 2 3 4" xfId="9664" xr:uid="{6FF8EEB2-BEC3-459D-80BE-ACA208B2C7CA}"/>
    <cellStyle name="Comma 4 2 2 3 2 4" xfId="1538" xr:uid="{00000000-0005-0000-0000-000007080000}"/>
    <cellStyle name="Comma 4 2 2 3 2 4 2" xfId="3768" xr:uid="{00000000-0005-0000-0000-000008080000}"/>
    <cellStyle name="Comma 4 2 2 3 2 4 2 2" xfId="7990" xr:uid="{00000000-0005-0000-0000-000009080000}"/>
    <cellStyle name="Comma 4 2 2 3 2 4 2 2 2" xfId="16440" xr:uid="{1BC3382C-7A1C-42E2-8E6D-5FF7EF51F7BC}"/>
    <cellStyle name="Comma 4 2 2 3 2 4 2 3" xfId="12222" xr:uid="{DA58B72D-8E93-4786-B16C-155E91026EAB}"/>
    <cellStyle name="Comma 4 2 2 3 2 4 3" xfId="5845" xr:uid="{00000000-0005-0000-0000-00000A080000}"/>
    <cellStyle name="Comma 4 2 2 3 2 4 3 2" xfId="14295" xr:uid="{E8742DDA-6BCE-4C68-95DC-3D3B545E994A}"/>
    <cellStyle name="Comma 4 2 2 3 2 4 4" xfId="10077" xr:uid="{85439F21-CE9F-456F-8ACC-C5B8A6E31521}"/>
    <cellStyle name="Comma 4 2 2 3 2 5" xfId="1952" xr:uid="{00000000-0005-0000-0000-00000B080000}"/>
    <cellStyle name="Comma 4 2 2 3 2 5 2" xfId="4181" xr:uid="{00000000-0005-0000-0000-00000C080000}"/>
    <cellStyle name="Comma 4 2 2 3 2 5 2 2" xfId="8403" xr:uid="{00000000-0005-0000-0000-00000D080000}"/>
    <cellStyle name="Comma 4 2 2 3 2 5 2 2 2" xfId="16853" xr:uid="{7A888EE1-F072-4A70-9182-F5B830865614}"/>
    <cellStyle name="Comma 4 2 2 3 2 5 2 3" xfId="12635" xr:uid="{FE13683B-868B-4280-9A6A-C0B715A9A355}"/>
    <cellStyle name="Comma 4 2 2 3 2 5 3" xfId="6258" xr:uid="{00000000-0005-0000-0000-00000E080000}"/>
    <cellStyle name="Comma 4 2 2 3 2 5 3 2" xfId="14708" xr:uid="{FCC92BA2-B086-4E33-8D55-5C2A9F6493FF}"/>
    <cellStyle name="Comma 4 2 2 3 2 5 4" xfId="10490" xr:uid="{A8C3A33A-CE20-4892-970C-12C6342D2F4B}"/>
    <cellStyle name="Comma 4 2 2 3 2 6" xfId="2387" xr:uid="{00000000-0005-0000-0000-00000F080000}"/>
    <cellStyle name="Comma 4 2 2 3 2 6 2" xfId="6671" xr:uid="{00000000-0005-0000-0000-000010080000}"/>
    <cellStyle name="Comma 4 2 2 3 2 6 2 2" xfId="15121" xr:uid="{61E6192B-1894-4611-BDEB-9DD6EC8CB704}"/>
    <cellStyle name="Comma 4 2 2 3 2 6 3" xfId="10903" xr:uid="{6641308F-BD0A-4B4B-BDFD-DAF3D5E1AD1B}"/>
    <cellStyle name="Comma 4 2 2 3 2 7" xfId="2376" xr:uid="{00000000-0005-0000-0000-000011080000}"/>
    <cellStyle name="Comma 4 2 2 3 2 8" xfId="2765" xr:uid="{00000000-0005-0000-0000-000012080000}"/>
    <cellStyle name="Comma 4 2 2 3 2 8 2" xfId="6988" xr:uid="{00000000-0005-0000-0000-000013080000}"/>
    <cellStyle name="Comma 4 2 2 3 2 8 2 2" xfId="15438" xr:uid="{81BA8254-A962-4118-9626-F35C22ECA966}"/>
    <cellStyle name="Comma 4 2 2 3 2 8 3" xfId="11220" xr:uid="{F9C82BAE-D468-4776-854D-B3410C2F0D07}"/>
    <cellStyle name="Comma 4 2 2 3 2 9" xfId="4605" xr:uid="{00000000-0005-0000-0000-000014080000}"/>
    <cellStyle name="Comma 4 2 2 3 2 9 2" xfId="13055" xr:uid="{A6D1B452-68E8-4D53-8050-62356245A2B4}"/>
    <cellStyle name="Comma 4 2 2 3 3" xfId="670" xr:uid="{00000000-0005-0000-0000-000015080000}"/>
    <cellStyle name="Comma 4 2 2 3 3 2" xfId="2941" xr:uid="{00000000-0005-0000-0000-000016080000}"/>
    <cellStyle name="Comma 4 2 2 3 3 2 2" xfId="7163" xr:uid="{00000000-0005-0000-0000-000017080000}"/>
    <cellStyle name="Comma 4 2 2 3 3 2 2 2" xfId="15613" xr:uid="{AF6B9F8F-8D1F-46D8-9BD5-00C96688B6EF}"/>
    <cellStyle name="Comma 4 2 2 3 3 2 3" xfId="11395" xr:uid="{D0FB207E-86C2-430C-926C-0148E3C4A4BE}"/>
    <cellStyle name="Comma 4 2 2 3 3 3" xfId="5018" xr:uid="{00000000-0005-0000-0000-000018080000}"/>
    <cellStyle name="Comma 4 2 2 3 3 3 2" xfId="13468" xr:uid="{7AAC6C2A-1779-4E6D-B294-B2FA8E87794A}"/>
    <cellStyle name="Comma 4 2 2 3 3 4" xfId="9250" xr:uid="{80AB4850-939A-47EA-9D1C-056B7E9A01BD}"/>
    <cellStyle name="Comma 4 2 2 3 4" xfId="1123" xr:uid="{00000000-0005-0000-0000-000019080000}"/>
    <cellStyle name="Comma 4 2 2 3 4 2" xfId="3354" xr:uid="{00000000-0005-0000-0000-00001A080000}"/>
    <cellStyle name="Comma 4 2 2 3 4 2 2" xfId="7576" xr:uid="{00000000-0005-0000-0000-00001B080000}"/>
    <cellStyle name="Comma 4 2 2 3 4 2 2 2" xfId="16026" xr:uid="{5FF6AF3B-BA42-4D20-A35A-565A5D139078}"/>
    <cellStyle name="Comma 4 2 2 3 4 2 3" xfId="11808" xr:uid="{DB788CB0-11E2-4A85-99E2-C53D1E86ED15}"/>
    <cellStyle name="Comma 4 2 2 3 4 3" xfId="5431" xr:uid="{00000000-0005-0000-0000-00001C080000}"/>
    <cellStyle name="Comma 4 2 2 3 4 3 2" xfId="13881" xr:uid="{1D42AA78-082D-4278-9CCF-4725F106645D}"/>
    <cellStyle name="Comma 4 2 2 3 4 4" xfId="9663" xr:uid="{B0856ABD-1249-4991-86DB-1F4FDF889954}"/>
    <cellStyle name="Comma 4 2 2 3 5" xfId="1537" xr:uid="{00000000-0005-0000-0000-00001D080000}"/>
    <cellStyle name="Comma 4 2 2 3 5 2" xfId="3767" xr:uid="{00000000-0005-0000-0000-00001E080000}"/>
    <cellStyle name="Comma 4 2 2 3 5 2 2" xfId="7989" xr:uid="{00000000-0005-0000-0000-00001F080000}"/>
    <cellStyle name="Comma 4 2 2 3 5 2 2 2" xfId="16439" xr:uid="{4AC13FCB-289D-4402-8FF5-800CD89A7A8B}"/>
    <cellStyle name="Comma 4 2 2 3 5 2 3" xfId="12221" xr:uid="{7EEEA622-BFF8-4537-881B-B0423B4C54F6}"/>
    <cellStyle name="Comma 4 2 2 3 5 3" xfId="5844" xr:uid="{00000000-0005-0000-0000-000020080000}"/>
    <cellStyle name="Comma 4 2 2 3 5 3 2" xfId="14294" xr:uid="{D7A593BC-445B-4EF3-BD3D-A0B1D916D069}"/>
    <cellStyle name="Comma 4 2 2 3 5 4" xfId="10076" xr:uid="{92A01331-933C-4543-B9F9-94981EB96AEE}"/>
    <cellStyle name="Comma 4 2 2 3 6" xfId="1951" xr:uid="{00000000-0005-0000-0000-000021080000}"/>
    <cellStyle name="Comma 4 2 2 3 6 2" xfId="4180" xr:uid="{00000000-0005-0000-0000-000022080000}"/>
    <cellStyle name="Comma 4 2 2 3 6 2 2" xfId="8402" xr:uid="{00000000-0005-0000-0000-000023080000}"/>
    <cellStyle name="Comma 4 2 2 3 6 2 2 2" xfId="16852" xr:uid="{0D39FB58-8794-4EDF-90B2-832E3FE54C45}"/>
    <cellStyle name="Comma 4 2 2 3 6 2 3" xfId="12634" xr:uid="{0DA50E82-2753-438A-848B-5306694EE16F}"/>
    <cellStyle name="Comma 4 2 2 3 6 3" xfId="6257" xr:uid="{00000000-0005-0000-0000-000024080000}"/>
    <cellStyle name="Comma 4 2 2 3 6 3 2" xfId="14707" xr:uid="{51E662A2-B68E-4BFC-979A-323D714A2810}"/>
    <cellStyle name="Comma 4 2 2 3 6 4" xfId="10489" xr:uid="{055B1542-CBA1-488A-AF6C-DCADDEE8E0A4}"/>
    <cellStyle name="Comma 4 2 2 3 7" xfId="2386" xr:uid="{00000000-0005-0000-0000-000025080000}"/>
    <cellStyle name="Comma 4 2 2 3 7 2" xfId="6670" xr:uid="{00000000-0005-0000-0000-000026080000}"/>
    <cellStyle name="Comma 4 2 2 3 7 2 2" xfId="15120" xr:uid="{D9A0B13D-3160-4D09-AADF-78EEC68D6091}"/>
    <cellStyle name="Comma 4 2 2 3 7 3" xfId="10902" xr:uid="{60E6ADF2-19AE-436A-B295-BDB5C998CD52}"/>
    <cellStyle name="Comma 4 2 2 3 8" xfId="2377" xr:uid="{00000000-0005-0000-0000-000027080000}"/>
    <cellStyle name="Comma 4 2 2 3 9" xfId="2764" xr:uid="{00000000-0005-0000-0000-000028080000}"/>
    <cellStyle name="Comma 4 2 2 3 9 2" xfId="6987" xr:uid="{00000000-0005-0000-0000-000029080000}"/>
    <cellStyle name="Comma 4 2 2 3 9 2 2" xfId="15437" xr:uid="{24BC7D49-3DDB-431D-8B15-1A3B3556D4C3}"/>
    <cellStyle name="Comma 4 2 2 3 9 3" xfId="11219" xr:uid="{BFDECF81-B32C-46B7-9DAE-6B585EFC8687}"/>
    <cellStyle name="Comma 4 2 2 4" xfId="134" xr:uid="{00000000-0005-0000-0000-00002A080000}"/>
    <cellStyle name="Comma 4 2 2 4 10" xfId="8838" xr:uid="{B1ED5132-57FE-44C1-A02F-7E3282007A2A}"/>
    <cellStyle name="Comma 4 2 2 4 2" xfId="672" xr:uid="{00000000-0005-0000-0000-00002B080000}"/>
    <cellStyle name="Comma 4 2 2 4 2 2" xfId="2943" xr:uid="{00000000-0005-0000-0000-00002C080000}"/>
    <cellStyle name="Comma 4 2 2 4 2 2 2" xfId="7165" xr:uid="{00000000-0005-0000-0000-00002D080000}"/>
    <cellStyle name="Comma 4 2 2 4 2 2 2 2" xfId="15615" xr:uid="{D649F570-D903-4907-8F1E-D69F05FA84D3}"/>
    <cellStyle name="Comma 4 2 2 4 2 2 3" xfId="11397" xr:uid="{7ED496C9-CE8E-4220-B16D-B73CD86B6997}"/>
    <cellStyle name="Comma 4 2 2 4 2 3" xfId="5020" xr:uid="{00000000-0005-0000-0000-00002E080000}"/>
    <cellStyle name="Comma 4 2 2 4 2 3 2" xfId="13470" xr:uid="{6DD6A353-01D6-4C2E-BBF9-737F018A5DA5}"/>
    <cellStyle name="Comma 4 2 2 4 2 4" xfId="9252" xr:uid="{816DBA80-6630-4944-97E4-935F48BD1C3B}"/>
    <cellStyle name="Comma 4 2 2 4 3" xfId="1125" xr:uid="{00000000-0005-0000-0000-00002F080000}"/>
    <cellStyle name="Comma 4 2 2 4 3 2" xfId="3356" xr:uid="{00000000-0005-0000-0000-000030080000}"/>
    <cellStyle name="Comma 4 2 2 4 3 2 2" xfId="7578" xr:uid="{00000000-0005-0000-0000-000031080000}"/>
    <cellStyle name="Comma 4 2 2 4 3 2 2 2" xfId="16028" xr:uid="{5408F3FB-A0B7-43E2-810C-006F907D7680}"/>
    <cellStyle name="Comma 4 2 2 4 3 2 3" xfId="11810" xr:uid="{2C84C6B4-8E26-4B45-BB2C-6FEEAEEFFC4F}"/>
    <cellStyle name="Comma 4 2 2 4 3 3" xfId="5433" xr:uid="{00000000-0005-0000-0000-000032080000}"/>
    <cellStyle name="Comma 4 2 2 4 3 3 2" xfId="13883" xr:uid="{ACEE33E2-9E90-4687-9F9E-3BF6F0A3DE33}"/>
    <cellStyle name="Comma 4 2 2 4 3 4" xfId="9665" xr:uid="{9E97ACCA-082C-497C-BFE6-722584F8BFEA}"/>
    <cellStyle name="Comma 4 2 2 4 4" xfId="1539" xr:uid="{00000000-0005-0000-0000-000033080000}"/>
    <cellStyle name="Comma 4 2 2 4 4 2" xfId="3769" xr:uid="{00000000-0005-0000-0000-000034080000}"/>
    <cellStyle name="Comma 4 2 2 4 4 2 2" xfId="7991" xr:uid="{00000000-0005-0000-0000-000035080000}"/>
    <cellStyle name="Comma 4 2 2 4 4 2 2 2" xfId="16441" xr:uid="{09F25335-CBC0-4F57-9E80-AACC4E47AD83}"/>
    <cellStyle name="Comma 4 2 2 4 4 2 3" xfId="12223" xr:uid="{158FC183-DBDC-4146-BAC7-98ED861FDA97}"/>
    <cellStyle name="Comma 4 2 2 4 4 3" xfId="5846" xr:uid="{00000000-0005-0000-0000-000036080000}"/>
    <cellStyle name="Comma 4 2 2 4 4 3 2" xfId="14296" xr:uid="{DDA80ACE-6B28-4769-B169-321054836489}"/>
    <cellStyle name="Comma 4 2 2 4 4 4" xfId="10078" xr:uid="{80E84EF6-B102-46C5-AE59-5FE24F56C7F9}"/>
    <cellStyle name="Comma 4 2 2 4 5" xfId="1953" xr:uid="{00000000-0005-0000-0000-000037080000}"/>
    <cellStyle name="Comma 4 2 2 4 5 2" xfId="4182" xr:uid="{00000000-0005-0000-0000-000038080000}"/>
    <cellStyle name="Comma 4 2 2 4 5 2 2" xfId="8404" xr:uid="{00000000-0005-0000-0000-000039080000}"/>
    <cellStyle name="Comma 4 2 2 4 5 2 2 2" xfId="16854" xr:uid="{3DB4C9A5-C151-4613-8DA5-0FB98C4DE83B}"/>
    <cellStyle name="Comma 4 2 2 4 5 2 3" xfId="12636" xr:uid="{D5E2B5A3-702C-4EC3-9A5C-0CFE73959018}"/>
    <cellStyle name="Comma 4 2 2 4 5 3" xfId="6259" xr:uid="{00000000-0005-0000-0000-00003A080000}"/>
    <cellStyle name="Comma 4 2 2 4 5 3 2" xfId="14709" xr:uid="{01601972-B590-499D-A3D0-AEBA8C095C2F}"/>
    <cellStyle name="Comma 4 2 2 4 5 4" xfId="10491" xr:uid="{1B054D48-72DF-4C91-BD72-D75CD9BA9515}"/>
    <cellStyle name="Comma 4 2 2 4 6" xfId="2388" xr:uid="{00000000-0005-0000-0000-00003B080000}"/>
    <cellStyle name="Comma 4 2 2 4 6 2" xfId="6672" xr:uid="{00000000-0005-0000-0000-00003C080000}"/>
    <cellStyle name="Comma 4 2 2 4 6 2 2" xfId="15122" xr:uid="{AD60CAEB-5CB8-4389-9A3A-DA1966F8C232}"/>
    <cellStyle name="Comma 4 2 2 4 6 3" xfId="10904" xr:uid="{97915FFD-6973-41AD-BFF2-DB4B89830181}"/>
    <cellStyle name="Comma 4 2 2 4 7" xfId="2375" xr:uid="{00000000-0005-0000-0000-00003D080000}"/>
    <cellStyle name="Comma 4 2 2 4 8" xfId="2766" xr:uid="{00000000-0005-0000-0000-00003E080000}"/>
    <cellStyle name="Comma 4 2 2 4 8 2" xfId="6989" xr:uid="{00000000-0005-0000-0000-00003F080000}"/>
    <cellStyle name="Comma 4 2 2 4 8 2 2" xfId="15439" xr:uid="{64408DBF-C3CA-48EA-A9CC-20DA39D59A41}"/>
    <cellStyle name="Comma 4 2 2 4 8 3" xfId="11221" xr:uid="{178EB62C-B16E-466B-8A8F-5B652860A3A9}"/>
    <cellStyle name="Comma 4 2 2 4 9" xfId="4606" xr:uid="{00000000-0005-0000-0000-000040080000}"/>
    <cellStyle name="Comma 4 2 2 4 9 2" xfId="13056" xr:uid="{53B99DDB-EDA9-4C4C-A2D8-683F382922D8}"/>
    <cellStyle name="Comma 4 2 2 5" xfId="135" xr:uid="{00000000-0005-0000-0000-000041080000}"/>
    <cellStyle name="Comma 4 2 2 5 10" xfId="8839" xr:uid="{C292A839-B69B-40A2-B389-878B88CE81F6}"/>
    <cellStyle name="Comma 4 2 2 5 2" xfId="673" xr:uid="{00000000-0005-0000-0000-000042080000}"/>
    <cellStyle name="Comma 4 2 2 5 2 2" xfId="2944" xr:uid="{00000000-0005-0000-0000-000043080000}"/>
    <cellStyle name="Comma 4 2 2 5 2 2 2" xfId="7166" xr:uid="{00000000-0005-0000-0000-000044080000}"/>
    <cellStyle name="Comma 4 2 2 5 2 2 2 2" xfId="15616" xr:uid="{13369EB9-E82F-42EA-A3E1-CECE92607F56}"/>
    <cellStyle name="Comma 4 2 2 5 2 2 3" xfId="11398" xr:uid="{73870612-56C3-432F-B8EC-9699A658BCED}"/>
    <cellStyle name="Comma 4 2 2 5 2 3" xfId="5021" xr:uid="{00000000-0005-0000-0000-000045080000}"/>
    <cellStyle name="Comma 4 2 2 5 2 3 2" xfId="13471" xr:uid="{C616CEBB-89BD-41E6-BF11-9D56EC3ABF82}"/>
    <cellStyle name="Comma 4 2 2 5 2 4" xfId="9253" xr:uid="{4333A209-45F5-43C1-AF5C-26F0E96EF0FB}"/>
    <cellStyle name="Comma 4 2 2 5 3" xfId="1126" xr:uid="{00000000-0005-0000-0000-000046080000}"/>
    <cellStyle name="Comma 4 2 2 5 3 2" xfId="3357" xr:uid="{00000000-0005-0000-0000-000047080000}"/>
    <cellStyle name="Comma 4 2 2 5 3 2 2" xfId="7579" xr:uid="{00000000-0005-0000-0000-000048080000}"/>
    <cellStyle name="Comma 4 2 2 5 3 2 2 2" xfId="16029" xr:uid="{80E4D679-29CE-45D0-9F73-6BAF99341A3E}"/>
    <cellStyle name="Comma 4 2 2 5 3 2 3" xfId="11811" xr:uid="{3E9E69CA-1A88-4928-8FCB-79675193F795}"/>
    <cellStyle name="Comma 4 2 2 5 3 3" xfId="5434" xr:uid="{00000000-0005-0000-0000-000049080000}"/>
    <cellStyle name="Comma 4 2 2 5 3 3 2" xfId="13884" xr:uid="{7AA69D15-7426-4FA2-9E25-579EF35B55FB}"/>
    <cellStyle name="Comma 4 2 2 5 3 4" xfId="9666" xr:uid="{D5D609E1-BDDB-4051-88FD-B63702A55747}"/>
    <cellStyle name="Comma 4 2 2 5 4" xfId="1540" xr:uid="{00000000-0005-0000-0000-00004A080000}"/>
    <cellStyle name="Comma 4 2 2 5 4 2" xfId="3770" xr:uid="{00000000-0005-0000-0000-00004B080000}"/>
    <cellStyle name="Comma 4 2 2 5 4 2 2" xfId="7992" xr:uid="{00000000-0005-0000-0000-00004C080000}"/>
    <cellStyle name="Comma 4 2 2 5 4 2 2 2" xfId="16442" xr:uid="{9E4E5234-E6BB-48A5-AFF2-A5B055C73B16}"/>
    <cellStyle name="Comma 4 2 2 5 4 2 3" xfId="12224" xr:uid="{EAEDEC18-51D0-4A98-B090-C09175795A77}"/>
    <cellStyle name="Comma 4 2 2 5 4 3" xfId="5847" xr:uid="{00000000-0005-0000-0000-00004D080000}"/>
    <cellStyle name="Comma 4 2 2 5 4 3 2" xfId="14297" xr:uid="{5246902C-B2D2-4B06-85F6-0DA2C94448AD}"/>
    <cellStyle name="Comma 4 2 2 5 4 4" xfId="10079" xr:uid="{D11B3728-8640-4BCF-B844-7C8CFAE3A2BC}"/>
    <cellStyle name="Comma 4 2 2 5 5" xfId="1954" xr:uid="{00000000-0005-0000-0000-00004E080000}"/>
    <cellStyle name="Comma 4 2 2 5 5 2" xfId="4183" xr:uid="{00000000-0005-0000-0000-00004F080000}"/>
    <cellStyle name="Comma 4 2 2 5 5 2 2" xfId="8405" xr:uid="{00000000-0005-0000-0000-000050080000}"/>
    <cellStyle name="Comma 4 2 2 5 5 2 2 2" xfId="16855" xr:uid="{C78A9F5D-4007-4377-BFF8-B8DC3A54487F}"/>
    <cellStyle name="Comma 4 2 2 5 5 2 3" xfId="12637" xr:uid="{205C7416-E67F-46EF-8D7F-09398020F873}"/>
    <cellStyle name="Comma 4 2 2 5 5 3" xfId="6260" xr:uid="{00000000-0005-0000-0000-000051080000}"/>
    <cellStyle name="Comma 4 2 2 5 5 3 2" xfId="14710" xr:uid="{D9DDE434-78A0-4E41-8EEA-4A88BA51AA41}"/>
    <cellStyle name="Comma 4 2 2 5 5 4" xfId="10492" xr:uid="{16D91538-34AB-4E6E-AFA4-E79AD8B79554}"/>
    <cellStyle name="Comma 4 2 2 5 6" xfId="2389" xr:uid="{00000000-0005-0000-0000-000052080000}"/>
    <cellStyle name="Comma 4 2 2 5 6 2" xfId="6673" xr:uid="{00000000-0005-0000-0000-000053080000}"/>
    <cellStyle name="Comma 4 2 2 5 6 2 2" xfId="15123" xr:uid="{FA46A910-EE48-4E11-A570-DDCC904CD5BE}"/>
    <cellStyle name="Comma 4 2 2 5 6 3" xfId="10905" xr:uid="{C7A68F38-89EF-477B-87B9-300E36D9CBCD}"/>
    <cellStyle name="Comma 4 2 2 5 7" xfId="2374" xr:uid="{00000000-0005-0000-0000-000054080000}"/>
    <cellStyle name="Comma 4 2 2 5 8" xfId="2767" xr:uid="{00000000-0005-0000-0000-000055080000}"/>
    <cellStyle name="Comma 4 2 2 5 8 2" xfId="6990" xr:uid="{00000000-0005-0000-0000-000056080000}"/>
    <cellStyle name="Comma 4 2 2 5 8 2 2" xfId="15440" xr:uid="{AD042F82-20FA-449E-B994-0BF8C6BA5016}"/>
    <cellStyle name="Comma 4 2 2 5 8 3" xfId="11222" xr:uid="{0B8AD6A1-5E94-417A-B7BF-AD93C458FB6D}"/>
    <cellStyle name="Comma 4 2 2 5 9" xfId="4607" xr:uid="{00000000-0005-0000-0000-000057080000}"/>
    <cellStyle name="Comma 4 2 2 5 9 2" xfId="13057" xr:uid="{5C76192E-06D3-4607-B8AD-1D81CB827CF3}"/>
    <cellStyle name="Comma 4 2 3" xfId="136" xr:uid="{00000000-0005-0000-0000-000058080000}"/>
    <cellStyle name="Comma 4 2 3 10" xfId="2768" xr:uid="{00000000-0005-0000-0000-000059080000}"/>
    <cellStyle name="Comma 4 2 3 10 2" xfId="6991" xr:uid="{00000000-0005-0000-0000-00005A080000}"/>
    <cellStyle name="Comma 4 2 3 10 2 2" xfId="15441" xr:uid="{EB35EFF1-C435-4021-96D9-60487C1500F7}"/>
    <cellStyle name="Comma 4 2 3 10 3" xfId="11223" xr:uid="{94826F4D-75B6-4E12-9F7E-F4EEB61020A4}"/>
    <cellStyle name="Comma 4 2 3 11" xfId="4608" xr:uid="{00000000-0005-0000-0000-00005B080000}"/>
    <cellStyle name="Comma 4 2 3 11 2" xfId="13058" xr:uid="{DF5408A6-C5D5-4227-91A5-30554BAEBBE1}"/>
    <cellStyle name="Comma 4 2 3 12" xfId="8840" xr:uid="{990BC18D-E88B-4B92-A8F5-5D8E861684D0}"/>
    <cellStyle name="Comma 4 2 3 2" xfId="137" xr:uid="{00000000-0005-0000-0000-00005C080000}"/>
    <cellStyle name="Comma 4 2 3 2 10" xfId="4609" xr:uid="{00000000-0005-0000-0000-00005D080000}"/>
    <cellStyle name="Comma 4 2 3 2 10 2" xfId="13059" xr:uid="{C4F8E740-20F9-4A79-9C39-3AC5A850E607}"/>
    <cellStyle name="Comma 4 2 3 2 11" xfId="8841" xr:uid="{D4477C24-E197-4A57-94F9-CE9A7C96A3FD}"/>
    <cellStyle name="Comma 4 2 3 2 2" xfId="138" xr:uid="{00000000-0005-0000-0000-00005E080000}"/>
    <cellStyle name="Comma 4 2 3 2 2 10" xfId="8842" xr:uid="{D0A27303-B5A7-4F7A-A1BA-CBAEBD89D54D}"/>
    <cellStyle name="Comma 4 2 3 2 2 2" xfId="676" xr:uid="{00000000-0005-0000-0000-00005F080000}"/>
    <cellStyle name="Comma 4 2 3 2 2 2 2" xfId="2947" xr:uid="{00000000-0005-0000-0000-000060080000}"/>
    <cellStyle name="Comma 4 2 3 2 2 2 2 2" xfId="7169" xr:uid="{00000000-0005-0000-0000-000061080000}"/>
    <cellStyle name="Comma 4 2 3 2 2 2 2 2 2" xfId="15619" xr:uid="{08DD5AB3-23EE-473D-8846-1D7D39C5758D}"/>
    <cellStyle name="Comma 4 2 3 2 2 2 2 3" xfId="11401" xr:uid="{95B9EED3-05BB-4B63-931B-6A90C08B4E34}"/>
    <cellStyle name="Comma 4 2 3 2 2 2 3" xfId="5024" xr:uid="{00000000-0005-0000-0000-000062080000}"/>
    <cellStyle name="Comma 4 2 3 2 2 2 3 2" xfId="13474" xr:uid="{EAD1EF24-B51F-4DE4-90CD-A67A14F194BA}"/>
    <cellStyle name="Comma 4 2 3 2 2 2 4" xfId="9256" xr:uid="{848462C0-920F-4C0F-9FB3-1EFB52A0104E}"/>
    <cellStyle name="Comma 4 2 3 2 2 3" xfId="1129" xr:uid="{00000000-0005-0000-0000-000063080000}"/>
    <cellStyle name="Comma 4 2 3 2 2 3 2" xfId="3360" xr:uid="{00000000-0005-0000-0000-000064080000}"/>
    <cellStyle name="Comma 4 2 3 2 2 3 2 2" xfId="7582" xr:uid="{00000000-0005-0000-0000-000065080000}"/>
    <cellStyle name="Comma 4 2 3 2 2 3 2 2 2" xfId="16032" xr:uid="{1911A710-065F-4ECF-9856-82EB93EA3F7A}"/>
    <cellStyle name="Comma 4 2 3 2 2 3 2 3" xfId="11814" xr:uid="{B14D192D-7024-429B-8B06-AD7E514CC860}"/>
    <cellStyle name="Comma 4 2 3 2 2 3 3" xfId="5437" xr:uid="{00000000-0005-0000-0000-000066080000}"/>
    <cellStyle name="Comma 4 2 3 2 2 3 3 2" xfId="13887" xr:uid="{3FCCC3DA-AE50-4FA8-BB8F-1672A78A3B91}"/>
    <cellStyle name="Comma 4 2 3 2 2 3 4" xfId="9669" xr:uid="{7A4A851A-3EEF-4D8D-8962-6AC2EC21C46D}"/>
    <cellStyle name="Comma 4 2 3 2 2 4" xfId="1543" xr:uid="{00000000-0005-0000-0000-000067080000}"/>
    <cellStyle name="Comma 4 2 3 2 2 4 2" xfId="3773" xr:uid="{00000000-0005-0000-0000-000068080000}"/>
    <cellStyle name="Comma 4 2 3 2 2 4 2 2" xfId="7995" xr:uid="{00000000-0005-0000-0000-000069080000}"/>
    <cellStyle name="Comma 4 2 3 2 2 4 2 2 2" xfId="16445" xr:uid="{3FAEDE75-608D-4E33-85D8-378E74773C4A}"/>
    <cellStyle name="Comma 4 2 3 2 2 4 2 3" xfId="12227" xr:uid="{3C6BAA98-20AB-47BB-BCD3-824C9441F72B}"/>
    <cellStyle name="Comma 4 2 3 2 2 4 3" xfId="5850" xr:uid="{00000000-0005-0000-0000-00006A080000}"/>
    <cellStyle name="Comma 4 2 3 2 2 4 3 2" xfId="14300" xr:uid="{EA98376A-1EF7-4094-A035-C79F17CBB201}"/>
    <cellStyle name="Comma 4 2 3 2 2 4 4" xfId="10082" xr:uid="{E67F3DBF-5313-4D3D-B139-CAC3FE40B300}"/>
    <cellStyle name="Comma 4 2 3 2 2 5" xfId="1957" xr:uid="{00000000-0005-0000-0000-00006B080000}"/>
    <cellStyle name="Comma 4 2 3 2 2 5 2" xfId="4186" xr:uid="{00000000-0005-0000-0000-00006C080000}"/>
    <cellStyle name="Comma 4 2 3 2 2 5 2 2" xfId="8408" xr:uid="{00000000-0005-0000-0000-00006D080000}"/>
    <cellStyle name="Comma 4 2 3 2 2 5 2 2 2" xfId="16858" xr:uid="{BF2C4BB8-A591-4E16-AE6A-E3BBAC0919C4}"/>
    <cellStyle name="Comma 4 2 3 2 2 5 2 3" xfId="12640" xr:uid="{221B3667-9134-4ED9-A2EF-C3BA16496C9B}"/>
    <cellStyle name="Comma 4 2 3 2 2 5 3" xfId="6263" xr:uid="{00000000-0005-0000-0000-00006E080000}"/>
    <cellStyle name="Comma 4 2 3 2 2 5 3 2" xfId="14713" xr:uid="{2238A4B0-5C36-41C3-992E-F8B759172893}"/>
    <cellStyle name="Comma 4 2 3 2 2 5 4" xfId="10495" xr:uid="{32762849-5867-44B9-AF64-C979C54123AB}"/>
    <cellStyle name="Comma 4 2 3 2 2 6" xfId="2392" xr:uid="{00000000-0005-0000-0000-00006F080000}"/>
    <cellStyle name="Comma 4 2 3 2 2 6 2" xfId="6676" xr:uid="{00000000-0005-0000-0000-000070080000}"/>
    <cellStyle name="Comma 4 2 3 2 2 6 2 2" xfId="15126" xr:uid="{EF784D4C-B43F-4E77-A188-BAA66C57AC8A}"/>
    <cellStyle name="Comma 4 2 3 2 2 6 3" xfId="10908" xr:uid="{BAF29F33-5D22-4A9C-8C27-A71870C12DB6}"/>
    <cellStyle name="Comma 4 2 3 2 2 7" xfId="2371" xr:uid="{00000000-0005-0000-0000-000071080000}"/>
    <cellStyle name="Comma 4 2 3 2 2 8" xfId="2770" xr:uid="{00000000-0005-0000-0000-000072080000}"/>
    <cellStyle name="Comma 4 2 3 2 2 8 2" xfId="6993" xr:uid="{00000000-0005-0000-0000-000073080000}"/>
    <cellStyle name="Comma 4 2 3 2 2 8 2 2" xfId="15443" xr:uid="{69D3EE4C-58B5-4D3D-BBCC-20A6BF6D74EE}"/>
    <cellStyle name="Comma 4 2 3 2 2 8 3" xfId="11225" xr:uid="{01D36034-526C-4F5B-90BF-6FDA9A5C9ADD}"/>
    <cellStyle name="Comma 4 2 3 2 2 9" xfId="4610" xr:uid="{00000000-0005-0000-0000-000074080000}"/>
    <cellStyle name="Comma 4 2 3 2 2 9 2" xfId="13060" xr:uid="{17D00DF0-6D40-40F8-A02C-83B307B2C851}"/>
    <cellStyle name="Comma 4 2 3 2 3" xfId="675" xr:uid="{00000000-0005-0000-0000-000075080000}"/>
    <cellStyle name="Comma 4 2 3 2 3 2" xfId="2946" xr:uid="{00000000-0005-0000-0000-000076080000}"/>
    <cellStyle name="Comma 4 2 3 2 3 2 2" xfId="7168" xr:uid="{00000000-0005-0000-0000-000077080000}"/>
    <cellStyle name="Comma 4 2 3 2 3 2 2 2" xfId="15618" xr:uid="{627D2F93-D749-4F91-9CA8-AEBED723032B}"/>
    <cellStyle name="Comma 4 2 3 2 3 2 3" xfId="11400" xr:uid="{36070BA2-8E75-4189-B2C9-F1F1A6701ECB}"/>
    <cellStyle name="Comma 4 2 3 2 3 3" xfId="5023" xr:uid="{00000000-0005-0000-0000-000078080000}"/>
    <cellStyle name="Comma 4 2 3 2 3 3 2" xfId="13473" xr:uid="{B2972A46-A114-432C-BBC4-7DE81525C6BD}"/>
    <cellStyle name="Comma 4 2 3 2 3 4" xfId="9255" xr:uid="{2A54D94F-0B5E-4001-8D64-C7737BD6B072}"/>
    <cellStyle name="Comma 4 2 3 2 4" xfId="1128" xr:uid="{00000000-0005-0000-0000-000079080000}"/>
    <cellStyle name="Comma 4 2 3 2 4 2" xfId="3359" xr:uid="{00000000-0005-0000-0000-00007A080000}"/>
    <cellStyle name="Comma 4 2 3 2 4 2 2" xfId="7581" xr:uid="{00000000-0005-0000-0000-00007B080000}"/>
    <cellStyle name="Comma 4 2 3 2 4 2 2 2" xfId="16031" xr:uid="{5A0E7F59-EC16-4D6B-9173-63B04801221A}"/>
    <cellStyle name="Comma 4 2 3 2 4 2 3" xfId="11813" xr:uid="{2737D4C1-BE4C-4965-A309-858289C1A761}"/>
    <cellStyle name="Comma 4 2 3 2 4 3" xfId="5436" xr:uid="{00000000-0005-0000-0000-00007C080000}"/>
    <cellStyle name="Comma 4 2 3 2 4 3 2" xfId="13886" xr:uid="{A8938307-2502-4AB4-8B32-F2E2CC222661}"/>
    <cellStyle name="Comma 4 2 3 2 4 4" xfId="9668" xr:uid="{06E9BB15-32CA-4093-8717-3AA14E4EEAEE}"/>
    <cellStyle name="Comma 4 2 3 2 5" xfId="1542" xr:uid="{00000000-0005-0000-0000-00007D080000}"/>
    <cellStyle name="Comma 4 2 3 2 5 2" xfId="3772" xr:uid="{00000000-0005-0000-0000-00007E080000}"/>
    <cellStyle name="Comma 4 2 3 2 5 2 2" xfId="7994" xr:uid="{00000000-0005-0000-0000-00007F080000}"/>
    <cellStyle name="Comma 4 2 3 2 5 2 2 2" xfId="16444" xr:uid="{FE6E8DFE-D292-4B9C-B296-9527C6657755}"/>
    <cellStyle name="Comma 4 2 3 2 5 2 3" xfId="12226" xr:uid="{D2E6A5C8-3D9B-4B4D-BFFE-444D885DED93}"/>
    <cellStyle name="Comma 4 2 3 2 5 3" xfId="5849" xr:uid="{00000000-0005-0000-0000-000080080000}"/>
    <cellStyle name="Comma 4 2 3 2 5 3 2" xfId="14299" xr:uid="{946B0C89-1115-4E1B-B9B8-0098BF814552}"/>
    <cellStyle name="Comma 4 2 3 2 5 4" xfId="10081" xr:uid="{55751512-A5BC-496B-B761-C8A6FD6093E9}"/>
    <cellStyle name="Comma 4 2 3 2 6" xfId="1956" xr:uid="{00000000-0005-0000-0000-000081080000}"/>
    <cellStyle name="Comma 4 2 3 2 6 2" xfId="4185" xr:uid="{00000000-0005-0000-0000-000082080000}"/>
    <cellStyle name="Comma 4 2 3 2 6 2 2" xfId="8407" xr:uid="{00000000-0005-0000-0000-000083080000}"/>
    <cellStyle name="Comma 4 2 3 2 6 2 2 2" xfId="16857" xr:uid="{A57DDE1E-B26B-4414-849A-ABCD9558943F}"/>
    <cellStyle name="Comma 4 2 3 2 6 2 3" xfId="12639" xr:uid="{ADA2D45D-1521-40A3-8B6C-E5A40F4A3B29}"/>
    <cellStyle name="Comma 4 2 3 2 6 3" xfId="6262" xr:uid="{00000000-0005-0000-0000-000084080000}"/>
    <cellStyle name="Comma 4 2 3 2 6 3 2" xfId="14712" xr:uid="{21855594-BD7C-44C5-9515-4EE74F15CE29}"/>
    <cellStyle name="Comma 4 2 3 2 6 4" xfId="10494" xr:uid="{3905A3E8-DBFB-4CE0-8A04-0BAA08448877}"/>
    <cellStyle name="Comma 4 2 3 2 7" xfId="2391" xr:uid="{00000000-0005-0000-0000-000085080000}"/>
    <cellStyle name="Comma 4 2 3 2 7 2" xfId="6675" xr:uid="{00000000-0005-0000-0000-000086080000}"/>
    <cellStyle name="Comma 4 2 3 2 7 2 2" xfId="15125" xr:uid="{FB3FFBBF-70AF-4F63-AF12-AD1DE61DEBD7}"/>
    <cellStyle name="Comma 4 2 3 2 7 3" xfId="10907" xr:uid="{801CE568-7B92-4208-83D8-052FD7735326}"/>
    <cellStyle name="Comma 4 2 3 2 8" xfId="2372" xr:uid="{00000000-0005-0000-0000-000087080000}"/>
    <cellStyle name="Comma 4 2 3 2 9" xfId="2769" xr:uid="{00000000-0005-0000-0000-000088080000}"/>
    <cellStyle name="Comma 4 2 3 2 9 2" xfId="6992" xr:uid="{00000000-0005-0000-0000-000089080000}"/>
    <cellStyle name="Comma 4 2 3 2 9 2 2" xfId="15442" xr:uid="{1CEEBDBC-3A60-4186-AC2C-99649A361182}"/>
    <cellStyle name="Comma 4 2 3 2 9 3" xfId="11224" xr:uid="{94BE8A83-64F4-4D45-8811-41E1D733A14E}"/>
    <cellStyle name="Comma 4 2 3 3" xfId="139" xr:uid="{00000000-0005-0000-0000-00008A080000}"/>
    <cellStyle name="Comma 4 2 3 3 10" xfId="8843" xr:uid="{CF6B9488-6CE5-4DA4-8ED8-48EC4CC31841}"/>
    <cellStyle name="Comma 4 2 3 3 2" xfId="677" xr:uid="{00000000-0005-0000-0000-00008B080000}"/>
    <cellStyle name="Comma 4 2 3 3 2 2" xfId="2948" xr:uid="{00000000-0005-0000-0000-00008C080000}"/>
    <cellStyle name="Comma 4 2 3 3 2 2 2" xfId="7170" xr:uid="{00000000-0005-0000-0000-00008D080000}"/>
    <cellStyle name="Comma 4 2 3 3 2 2 2 2" xfId="15620" xr:uid="{91D5446E-A3EC-4503-9B7E-A84D41C198CC}"/>
    <cellStyle name="Comma 4 2 3 3 2 2 3" xfId="11402" xr:uid="{D3A291CD-0E8D-40FA-8E07-00C88DDEB9A3}"/>
    <cellStyle name="Comma 4 2 3 3 2 3" xfId="5025" xr:uid="{00000000-0005-0000-0000-00008E080000}"/>
    <cellStyle name="Comma 4 2 3 3 2 3 2" xfId="13475" xr:uid="{CED3A645-46AE-4040-8039-AE77F07A9CC6}"/>
    <cellStyle name="Comma 4 2 3 3 2 4" xfId="9257" xr:uid="{6C52C5DB-AFCA-43C5-B61D-5A040ADA26B6}"/>
    <cellStyle name="Comma 4 2 3 3 3" xfId="1130" xr:uid="{00000000-0005-0000-0000-00008F080000}"/>
    <cellStyle name="Comma 4 2 3 3 3 2" xfId="3361" xr:uid="{00000000-0005-0000-0000-000090080000}"/>
    <cellStyle name="Comma 4 2 3 3 3 2 2" xfId="7583" xr:uid="{00000000-0005-0000-0000-000091080000}"/>
    <cellStyle name="Comma 4 2 3 3 3 2 2 2" xfId="16033" xr:uid="{704FAAEA-85AB-4862-9E43-BBB79401F0C8}"/>
    <cellStyle name="Comma 4 2 3 3 3 2 3" xfId="11815" xr:uid="{6E4D7725-3BF2-493B-8A9C-FC839AB44647}"/>
    <cellStyle name="Comma 4 2 3 3 3 3" xfId="5438" xr:uid="{00000000-0005-0000-0000-000092080000}"/>
    <cellStyle name="Comma 4 2 3 3 3 3 2" xfId="13888" xr:uid="{F6DCAE5D-E04C-4E23-8C55-8AD3828C0271}"/>
    <cellStyle name="Comma 4 2 3 3 3 4" xfId="9670" xr:uid="{7255AD64-1C8E-4E78-B9F3-5EE1AB1676B5}"/>
    <cellStyle name="Comma 4 2 3 3 4" xfId="1544" xr:uid="{00000000-0005-0000-0000-000093080000}"/>
    <cellStyle name="Comma 4 2 3 3 4 2" xfId="3774" xr:uid="{00000000-0005-0000-0000-000094080000}"/>
    <cellStyle name="Comma 4 2 3 3 4 2 2" xfId="7996" xr:uid="{00000000-0005-0000-0000-000095080000}"/>
    <cellStyle name="Comma 4 2 3 3 4 2 2 2" xfId="16446" xr:uid="{316E7231-82B1-4705-861B-D76FCDD4F8B0}"/>
    <cellStyle name="Comma 4 2 3 3 4 2 3" xfId="12228" xr:uid="{9733A6A6-790A-48FF-84F6-014002DCBC26}"/>
    <cellStyle name="Comma 4 2 3 3 4 3" xfId="5851" xr:uid="{00000000-0005-0000-0000-000096080000}"/>
    <cellStyle name="Comma 4 2 3 3 4 3 2" xfId="14301" xr:uid="{F619D4F7-A80C-4A65-AFFD-B25E19088B60}"/>
    <cellStyle name="Comma 4 2 3 3 4 4" xfId="10083" xr:uid="{9B7E6D33-8BD0-45E3-827E-A864C681AB4E}"/>
    <cellStyle name="Comma 4 2 3 3 5" xfId="1958" xr:uid="{00000000-0005-0000-0000-000097080000}"/>
    <cellStyle name="Comma 4 2 3 3 5 2" xfId="4187" xr:uid="{00000000-0005-0000-0000-000098080000}"/>
    <cellStyle name="Comma 4 2 3 3 5 2 2" xfId="8409" xr:uid="{00000000-0005-0000-0000-000099080000}"/>
    <cellStyle name="Comma 4 2 3 3 5 2 2 2" xfId="16859" xr:uid="{FF175A20-59BB-40AF-816B-26893E0280D0}"/>
    <cellStyle name="Comma 4 2 3 3 5 2 3" xfId="12641" xr:uid="{90DEEF9D-EECA-4545-8A3B-B85BFDE4E41A}"/>
    <cellStyle name="Comma 4 2 3 3 5 3" xfId="6264" xr:uid="{00000000-0005-0000-0000-00009A080000}"/>
    <cellStyle name="Comma 4 2 3 3 5 3 2" xfId="14714" xr:uid="{277F4427-C1A0-4D78-8B2A-3D82ED05E0E6}"/>
    <cellStyle name="Comma 4 2 3 3 5 4" xfId="10496" xr:uid="{9104FD55-7F66-4124-B6C9-AE5C6FB0B5B3}"/>
    <cellStyle name="Comma 4 2 3 3 6" xfId="2393" xr:uid="{00000000-0005-0000-0000-00009B080000}"/>
    <cellStyle name="Comma 4 2 3 3 6 2" xfId="6677" xr:uid="{00000000-0005-0000-0000-00009C080000}"/>
    <cellStyle name="Comma 4 2 3 3 6 2 2" xfId="15127" xr:uid="{BD4A3C4F-6E52-4CF9-910C-ACB081DB6C1E}"/>
    <cellStyle name="Comma 4 2 3 3 6 3" xfId="10909" xr:uid="{A8673306-E1B1-41B9-A393-93BD47CCD6C7}"/>
    <cellStyle name="Comma 4 2 3 3 7" xfId="2370" xr:uid="{00000000-0005-0000-0000-00009D080000}"/>
    <cellStyle name="Comma 4 2 3 3 8" xfId="2771" xr:uid="{00000000-0005-0000-0000-00009E080000}"/>
    <cellStyle name="Comma 4 2 3 3 8 2" xfId="6994" xr:uid="{00000000-0005-0000-0000-00009F080000}"/>
    <cellStyle name="Comma 4 2 3 3 8 2 2" xfId="15444" xr:uid="{144E3B91-8923-4079-91DA-D9AF1BBE1FA2}"/>
    <cellStyle name="Comma 4 2 3 3 8 3" xfId="11226" xr:uid="{BDE75C05-3192-47E2-BD27-D456BD6B560C}"/>
    <cellStyle name="Comma 4 2 3 3 9" xfId="4611" xr:uid="{00000000-0005-0000-0000-0000A0080000}"/>
    <cellStyle name="Comma 4 2 3 3 9 2" xfId="13061" xr:uid="{19DC95AE-D979-40F6-9F85-9F315ABEC87A}"/>
    <cellStyle name="Comma 4 2 3 4" xfId="674" xr:uid="{00000000-0005-0000-0000-0000A1080000}"/>
    <cellStyle name="Comma 4 2 3 4 2" xfId="2945" xr:uid="{00000000-0005-0000-0000-0000A2080000}"/>
    <cellStyle name="Comma 4 2 3 4 2 2" xfId="7167" xr:uid="{00000000-0005-0000-0000-0000A3080000}"/>
    <cellStyle name="Comma 4 2 3 4 2 2 2" xfId="15617" xr:uid="{A54FE53E-25F3-476C-AEC5-C16D49B9A3D2}"/>
    <cellStyle name="Comma 4 2 3 4 2 3" xfId="11399" xr:uid="{D9D5BBB6-FC89-458B-9B3B-38A5E8D26240}"/>
    <cellStyle name="Comma 4 2 3 4 3" xfId="5022" xr:uid="{00000000-0005-0000-0000-0000A4080000}"/>
    <cellStyle name="Comma 4 2 3 4 3 2" xfId="13472" xr:uid="{FFC0BB71-CBB3-4B8C-B40F-A21E0FD8602E}"/>
    <cellStyle name="Comma 4 2 3 4 4" xfId="9254" xr:uid="{89AF80DF-4C09-4D48-9DA4-AA26570A7628}"/>
    <cellStyle name="Comma 4 2 3 5" xfId="1127" xr:uid="{00000000-0005-0000-0000-0000A5080000}"/>
    <cellStyle name="Comma 4 2 3 5 2" xfId="3358" xr:uid="{00000000-0005-0000-0000-0000A6080000}"/>
    <cellStyle name="Comma 4 2 3 5 2 2" xfId="7580" xr:uid="{00000000-0005-0000-0000-0000A7080000}"/>
    <cellStyle name="Comma 4 2 3 5 2 2 2" xfId="16030" xr:uid="{951513A3-25F0-49E7-8587-1AB29DA0BA50}"/>
    <cellStyle name="Comma 4 2 3 5 2 3" xfId="11812" xr:uid="{99637E40-F0F7-42F1-89C5-93BB8B8D45CF}"/>
    <cellStyle name="Comma 4 2 3 5 3" xfId="5435" xr:uid="{00000000-0005-0000-0000-0000A8080000}"/>
    <cellStyle name="Comma 4 2 3 5 3 2" xfId="13885" xr:uid="{857C95F0-4A43-41B8-8D0C-79D7F0B5DD06}"/>
    <cellStyle name="Comma 4 2 3 5 4" xfId="9667" xr:uid="{99CB40D5-4EFF-41D2-8F9C-D9BFC2F4CDD3}"/>
    <cellStyle name="Comma 4 2 3 6" xfId="1541" xr:uid="{00000000-0005-0000-0000-0000A9080000}"/>
    <cellStyle name="Comma 4 2 3 6 2" xfId="3771" xr:uid="{00000000-0005-0000-0000-0000AA080000}"/>
    <cellStyle name="Comma 4 2 3 6 2 2" xfId="7993" xr:uid="{00000000-0005-0000-0000-0000AB080000}"/>
    <cellStyle name="Comma 4 2 3 6 2 2 2" xfId="16443" xr:uid="{85A03DDE-0B1B-48AA-8D38-A0704C1F6A06}"/>
    <cellStyle name="Comma 4 2 3 6 2 3" xfId="12225" xr:uid="{98FB91D1-39B8-4A12-A9CA-93783E6047E9}"/>
    <cellStyle name="Comma 4 2 3 6 3" xfId="5848" xr:uid="{00000000-0005-0000-0000-0000AC080000}"/>
    <cellStyle name="Comma 4 2 3 6 3 2" xfId="14298" xr:uid="{1F822212-08AE-4CAB-A2B1-219D2DF52735}"/>
    <cellStyle name="Comma 4 2 3 6 4" xfId="10080" xr:uid="{2D36E6A5-E3DB-4A34-9C0E-5191BFE393D2}"/>
    <cellStyle name="Comma 4 2 3 7" xfId="1955" xr:uid="{00000000-0005-0000-0000-0000AD080000}"/>
    <cellStyle name="Comma 4 2 3 7 2" xfId="4184" xr:uid="{00000000-0005-0000-0000-0000AE080000}"/>
    <cellStyle name="Comma 4 2 3 7 2 2" xfId="8406" xr:uid="{00000000-0005-0000-0000-0000AF080000}"/>
    <cellStyle name="Comma 4 2 3 7 2 2 2" xfId="16856" xr:uid="{1DC04E28-6F89-4F26-9636-16C051FA9356}"/>
    <cellStyle name="Comma 4 2 3 7 2 3" xfId="12638" xr:uid="{862394AB-017F-48A2-9B76-F658A81134BC}"/>
    <cellStyle name="Comma 4 2 3 7 3" xfId="6261" xr:uid="{00000000-0005-0000-0000-0000B0080000}"/>
    <cellStyle name="Comma 4 2 3 7 3 2" xfId="14711" xr:uid="{588936D4-F5C5-410A-9E6B-29B66CE282EE}"/>
    <cellStyle name="Comma 4 2 3 7 4" xfId="10493" xr:uid="{5DFAA879-A318-4605-A731-2E23FC68D89E}"/>
    <cellStyle name="Comma 4 2 3 8" xfId="2390" xr:uid="{00000000-0005-0000-0000-0000B1080000}"/>
    <cellStyle name="Comma 4 2 3 8 2" xfId="6674" xr:uid="{00000000-0005-0000-0000-0000B2080000}"/>
    <cellStyle name="Comma 4 2 3 8 2 2" xfId="15124" xr:uid="{40C26047-A8AB-46ED-A3B9-3C6B9F79D0DB}"/>
    <cellStyle name="Comma 4 2 3 8 3" xfId="10906" xr:uid="{47C64AD7-C0CB-4974-A914-C3E653E2D47A}"/>
    <cellStyle name="Comma 4 2 3 9" xfId="2373" xr:uid="{00000000-0005-0000-0000-0000B3080000}"/>
    <cellStyle name="Comma 4 2 4" xfId="140" xr:uid="{00000000-0005-0000-0000-0000B4080000}"/>
    <cellStyle name="Comma 4 2 4 10" xfId="4612" xr:uid="{00000000-0005-0000-0000-0000B5080000}"/>
    <cellStyle name="Comma 4 2 4 10 2" xfId="13062" xr:uid="{24C0EEE2-D25E-4CC8-940B-1C7A4EBFFC13}"/>
    <cellStyle name="Comma 4 2 4 11" xfId="8844" xr:uid="{0CA3E77E-D220-4502-AFCA-D70B850C22F6}"/>
    <cellStyle name="Comma 4 2 4 2" xfId="141" xr:uid="{00000000-0005-0000-0000-0000B6080000}"/>
    <cellStyle name="Comma 4 2 4 2 10" xfId="8845" xr:uid="{629156AF-4ADC-44A6-A845-44A58E63C217}"/>
    <cellStyle name="Comma 4 2 4 2 2" xfId="679" xr:uid="{00000000-0005-0000-0000-0000B7080000}"/>
    <cellStyle name="Comma 4 2 4 2 2 2" xfId="2950" xr:uid="{00000000-0005-0000-0000-0000B8080000}"/>
    <cellStyle name="Comma 4 2 4 2 2 2 2" xfId="7172" xr:uid="{00000000-0005-0000-0000-0000B9080000}"/>
    <cellStyle name="Comma 4 2 4 2 2 2 2 2" xfId="15622" xr:uid="{15A5166D-406F-4868-93A8-A9B9D5A3C6DB}"/>
    <cellStyle name="Comma 4 2 4 2 2 2 3" xfId="11404" xr:uid="{D40D6708-02F2-4C52-9F3C-A44C11D10E57}"/>
    <cellStyle name="Comma 4 2 4 2 2 3" xfId="5027" xr:uid="{00000000-0005-0000-0000-0000BA080000}"/>
    <cellStyle name="Comma 4 2 4 2 2 3 2" xfId="13477" xr:uid="{18D45846-8119-4364-B4D0-E9174F3957CA}"/>
    <cellStyle name="Comma 4 2 4 2 2 4" xfId="9259" xr:uid="{01E43985-2491-4811-8B2F-044BCF2BC21B}"/>
    <cellStyle name="Comma 4 2 4 2 3" xfId="1132" xr:uid="{00000000-0005-0000-0000-0000BB080000}"/>
    <cellStyle name="Comma 4 2 4 2 3 2" xfId="3363" xr:uid="{00000000-0005-0000-0000-0000BC080000}"/>
    <cellStyle name="Comma 4 2 4 2 3 2 2" xfId="7585" xr:uid="{00000000-0005-0000-0000-0000BD080000}"/>
    <cellStyle name="Comma 4 2 4 2 3 2 2 2" xfId="16035" xr:uid="{C67F3FC1-5A5F-4276-AF2F-0E6EA719A681}"/>
    <cellStyle name="Comma 4 2 4 2 3 2 3" xfId="11817" xr:uid="{76371477-19D6-4713-9596-8D44E7CCAF61}"/>
    <cellStyle name="Comma 4 2 4 2 3 3" xfId="5440" xr:uid="{00000000-0005-0000-0000-0000BE080000}"/>
    <cellStyle name="Comma 4 2 4 2 3 3 2" xfId="13890" xr:uid="{61D95127-F5AF-4EFB-A051-A7C67C0E10B3}"/>
    <cellStyle name="Comma 4 2 4 2 3 4" xfId="9672" xr:uid="{64AA2DD2-6643-49D3-8625-6B5FD94EAFFF}"/>
    <cellStyle name="Comma 4 2 4 2 4" xfId="1546" xr:uid="{00000000-0005-0000-0000-0000BF080000}"/>
    <cellStyle name="Comma 4 2 4 2 4 2" xfId="3776" xr:uid="{00000000-0005-0000-0000-0000C0080000}"/>
    <cellStyle name="Comma 4 2 4 2 4 2 2" xfId="7998" xr:uid="{00000000-0005-0000-0000-0000C1080000}"/>
    <cellStyle name="Comma 4 2 4 2 4 2 2 2" xfId="16448" xr:uid="{452433D2-FED8-440B-A19F-FA7FB74B6599}"/>
    <cellStyle name="Comma 4 2 4 2 4 2 3" xfId="12230" xr:uid="{6E9C166C-AA9B-4E22-A499-201DFFAE06C9}"/>
    <cellStyle name="Comma 4 2 4 2 4 3" xfId="5853" xr:uid="{00000000-0005-0000-0000-0000C2080000}"/>
    <cellStyle name="Comma 4 2 4 2 4 3 2" xfId="14303" xr:uid="{EE04E49B-FB5B-4B08-9254-B011264ADC6B}"/>
    <cellStyle name="Comma 4 2 4 2 4 4" xfId="10085" xr:uid="{19960ED9-EA33-4374-919D-C9176B2F8DF4}"/>
    <cellStyle name="Comma 4 2 4 2 5" xfId="1960" xr:uid="{00000000-0005-0000-0000-0000C3080000}"/>
    <cellStyle name="Comma 4 2 4 2 5 2" xfId="4189" xr:uid="{00000000-0005-0000-0000-0000C4080000}"/>
    <cellStyle name="Comma 4 2 4 2 5 2 2" xfId="8411" xr:uid="{00000000-0005-0000-0000-0000C5080000}"/>
    <cellStyle name="Comma 4 2 4 2 5 2 2 2" xfId="16861" xr:uid="{9BFE101B-625B-43C4-B59E-BAFB5FF111BB}"/>
    <cellStyle name="Comma 4 2 4 2 5 2 3" xfId="12643" xr:uid="{C63E865D-6325-462C-A121-E97073A0D8AB}"/>
    <cellStyle name="Comma 4 2 4 2 5 3" xfId="6266" xr:uid="{00000000-0005-0000-0000-0000C6080000}"/>
    <cellStyle name="Comma 4 2 4 2 5 3 2" xfId="14716" xr:uid="{D319E2EB-379B-4558-8C41-6171FC81168B}"/>
    <cellStyle name="Comma 4 2 4 2 5 4" xfId="10498" xr:uid="{8131A2ED-405E-423B-85C5-BA6592C9599B}"/>
    <cellStyle name="Comma 4 2 4 2 6" xfId="2395" xr:uid="{00000000-0005-0000-0000-0000C7080000}"/>
    <cellStyle name="Comma 4 2 4 2 6 2" xfId="6679" xr:uid="{00000000-0005-0000-0000-0000C8080000}"/>
    <cellStyle name="Comma 4 2 4 2 6 2 2" xfId="15129" xr:uid="{4C033F95-4333-4CFA-8065-42783911E890}"/>
    <cellStyle name="Comma 4 2 4 2 6 3" xfId="10911" xr:uid="{DA0C2791-5F2A-481E-B69F-D217E36ED4E4}"/>
    <cellStyle name="Comma 4 2 4 2 7" xfId="2368" xr:uid="{00000000-0005-0000-0000-0000C9080000}"/>
    <cellStyle name="Comma 4 2 4 2 8" xfId="2773" xr:uid="{00000000-0005-0000-0000-0000CA080000}"/>
    <cellStyle name="Comma 4 2 4 2 8 2" xfId="6996" xr:uid="{00000000-0005-0000-0000-0000CB080000}"/>
    <cellStyle name="Comma 4 2 4 2 8 2 2" xfId="15446" xr:uid="{F705F951-6AC0-4986-8A35-0AC7C9B735CC}"/>
    <cellStyle name="Comma 4 2 4 2 8 3" xfId="11228" xr:uid="{33CFAFF1-36F4-4F38-B5DC-33A23F287905}"/>
    <cellStyle name="Comma 4 2 4 2 9" xfId="4613" xr:uid="{00000000-0005-0000-0000-0000CC080000}"/>
    <cellStyle name="Comma 4 2 4 2 9 2" xfId="13063" xr:uid="{24BADADD-717D-4B83-96F8-B3ABF425C709}"/>
    <cellStyle name="Comma 4 2 4 3" xfId="678" xr:uid="{00000000-0005-0000-0000-0000CD080000}"/>
    <cellStyle name="Comma 4 2 4 3 2" xfId="2949" xr:uid="{00000000-0005-0000-0000-0000CE080000}"/>
    <cellStyle name="Comma 4 2 4 3 2 2" xfId="7171" xr:uid="{00000000-0005-0000-0000-0000CF080000}"/>
    <cellStyle name="Comma 4 2 4 3 2 2 2" xfId="15621" xr:uid="{6AA15F04-4A6F-4E50-83C5-6BBF9D7D1BA3}"/>
    <cellStyle name="Comma 4 2 4 3 2 3" xfId="11403" xr:uid="{BC743C3D-4D45-4213-BD53-A27181FA7525}"/>
    <cellStyle name="Comma 4 2 4 3 3" xfId="5026" xr:uid="{00000000-0005-0000-0000-0000D0080000}"/>
    <cellStyle name="Comma 4 2 4 3 3 2" xfId="13476" xr:uid="{4B5D3650-3FC4-421D-B51D-E3B89AFBAB9B}"/>
    <cellStyle name="Comma 4 2 4 3 4" xfId="9258" xr:uid="{03ECBE52-F4D7-4586-8CD4-13E7EB7D6B48}"/>
    <cellStyle name="Comma 4 2 4 4" xfId="1131" xr:uid="{00000000-0005-0000-0000-0000D1080000}"/>
    <cellStyle name="Comma 4 2 4 4 2" xfId="3362" xr:uid="{00000000-0005-0000-0000-0000D2080000}"/>
    <cellStyle name="Comma 4 2 4 4 2 2" xfId="7584" xr:uid="{00000000-0005-0000-0000-0000D3080000}"/>
    <cellStyle name="Comma 4 2 4 4 2 2 2" xfId="16034" xr:uid="{9C27F50E-5073-4B7A-A2E3-E9D9E4BAC6ED}"/>
    <cellStyle name="Comma 4 2 4 4 2 3" xfId="11816" xr:uid="{3F8F767E-F55A-44AD-840A-9D42652D9270}"/>
    <cellStyle name="Comma 4 2 4 4 3" xfId="5439" xr:uid="{00000000-0005-0000-0000-0000D4080000}"/>
    <cellStyle name="Comma 4 2 4 4 3 2" xfId="13889" xr:uid="{487AE262-7A25-42F0-BE68-203D23ED4ED6}"/>
    <cellStyle name="Comma 4 2 4 4 4" xfId="9671" xr:uid="{95AA93DA-3EC2-479F-BEF7-2704B8777DC6}"/>
    <cellStyle name="Comma 4 2 4 5" xfId="1545" xr:uid="{00000000-0005-0000-0000-0000D5080000}"/>
    <cellStyle name="Comma 4 2 4 5 2" xfId="3775" xr:uid="{00000000-0005-0000-0000-0000D6080000}"/>
    <cellStyle name="Comma 4 2 4 5 2 2" xfId="7997" xr:uid="{00000000-0005-0000-0000-0000D7080000}"/>
    <cellStyle name="Comma 4 2 4 5 2 2 2" xfId="16447" xr:uid="{2A5D1393-93DA-4894-8062-0829C6ECD930}"/>
    <cellStyle name="Comma 4 2 4 5 2 3" xfId="12229" xr:uid="{D8CB3B31-AA71-4F0F-80FE-ED532FD68C06}"/>
    <cellStyle name="Comma 4 2 4 5 3" xfId="5852" xr:uid="{00000000-0005-0000-0000-0000D8080000}"/>
    <cellStyle name="Comma 4 2 4 5 3 2" xfId="14302" xr:uid="{586F04A9-26BF-46BE-A7F6-BEF0B2F2AC2D}"/>
    <cellStyle name="Comma 4 2 4 5 4" xfId="10084" xr:uid="{300505D0-2752-4222-BECA-7F4234AB20B0}"/>
    <cellStyle name="Comma 4 2 4 6" xfId="1959" xr:uid="{00000000-0005-0000-0000-0000D9080000}"/>
    <cellStyle name="Comma 4 2 4 6 2" xfId="4188" xr:uid="{00000000-0005-0000-0000-0000DA080000}"/>
    <cellStyle name="Comma 4 2 4 6 2 2" xfId="8410" xr:uid="{00000000-0005-0000-0000-0000DB080000}"/>
    <cellStyle name="Comma 4 2 4 6 2 2 2" xfId="16860" xr:uid="{C8A9BCAE-4374-4049-A31B-E02820A0B764}"/>
    <cellStyle name="Comma 4 2 4 6 2 3" xfId="12642" xr:uid="{878C3992-7835-4FC4-885F-A78A585D0658}"/>
    <cellStyle name="Comma 4 2 4 6 3" xfId="6265" xr:uid="{00000000-0005-0000-0000-0000DC080000}"/>
    <cellStyle name="Comma 4 2 4 6 3 2" xfId="14715" xr:uid="{F69FA91C-C0F3-4817-BA1C-13349D343B6B}"/>
    <cellStyle name="Comma 4 2 4 6 4" xfId="10497" xr:uid="{9A90CF56-11A6-42CD-9677-11359C4787E3}"/>
    <cellStyle name="Comma 4 2 4 7" xfId="2394" xr:uid="{00000000-0005-0000-0000-0000DD080000}"/>
    <cellStyle name="Comma 4 2 4 7 2" xfId="6678" xr:uid="{00000000-0005-0000-0000-0000DE080000}"/>
    <cellStyle name="Comma 4 2 4 7 2 2" xfId="15128" xr:uid="{EF4BC92B-E1DF-4685-BE57-A0B38A1C2099}"/>
    <cellStyle name="Comma 4 2 4 7 3" xfId="10910" xr:uid="{D63080FC-7A8E-4DDC-9198-94EA9A299647}"/>
    <cellStyle name="Comma 4 2 4 8" xfId="2369" xr:uid="{00000000-0005-0000-0000-0000DF080000}"/>
    <cellStyle name="Comma 4 2 4 9" xfId="2772" xr:uid="{00000000-0005-0000-0000-0000E0080000}"/>
    <cellStyle name="Comma 4 2 4 9 2" xfId="6995" xr:uid="{00000000-0005-0000-0000-0000E1080000}"/>
    <cellStyle name="Comma 4 2 4 9 2 2" xfId="15445" xr:uid="{DF5ABBD6-44E9-462A-BCBD-20F4C80834B0}"/>
    <cellStyle name="Comma 4 2 4 9 3" xfId="11227" xr:uid="{E9D34A08-F383-4773-A602-19B10531B025}"/>
    <cellStyle name="Comma 4 2 5" xfId="142" xr:uid="{00000000-0005-0000-0000-0000E2080000}"/>
    <cellStyle name="Comma 4 2 5 10" xfId="8846" xr:uid="{B5768D48-DAD1-40D9-B43E-84E295AFB78E}"/>
    <cellStyle name="Comma 4 2 5 2" xfId="680" xr:uid="{00000000-0005-0000-0000-0000E3080000}"/>
    <cellStyle name="Comma 4 2 5 2 2" xfId="2951" xr:uid="{00000000-0005-0000-0000-0000E4080000}"/>
    <cellStyle name="Comma 4 2 5 2 2 2" xfId="7173" xr:uid="{00000000-0005-0000-0000-0000E5080000}"/>
    <cellStyle name="Comma 4 2 5 2 2 2 2" xfId="15623" xr:uid="{03DC55C7-5085-48FA-9E6A-8BD9CEC157D3}"/>
    <cellStyle name="Comma 4 2 5 2 2 3" xfId="11405" xr:uid="{095F9809-114D-4335-B3C1-4EE12B99B50C}"/>
    <cellStyle name="Comma 4 2 5 2 3" xfId="5028" xr:uid="{00000000-0005-0000-0000-0000E6080000}"/>
    <cellStyle name="Comma 4 2 5 2 3 2" xfId="13478" xr:uid="{C3BD9A25-CF68-4B4A-BA11-2DD3E72130F1}"/>
    <cellStyle name="Comma 4 2 5 2 4" xfId="9260" xr:uid="{AD0D8337-AEB4-4D6C-8B14-F3448467325B}"/>
    <cellStyle name="Comma 4 2 5 3" xfId="1133" xr:uid="{00000000-0005-0000-0000-0000E7080000}"/>
    <cellStyle name="Comma 4 2 5 3 2" xfId="3364" xr:uid="{00000000-0005-0000-0000-0000E8080000}"/>
    <cellStyle name="Comma 4 2 5 3 2 2" xfId="7586" xr:uid="{00000000-0005-0000-0000-0000E9080000}"/>
    <cellStyle name="Comma 4 2 5 3 2 2 2" xfId="16036" xr:uid="{58794121-B23C-4185-9C49-3FF2748D77C5}"/>
    <cellStyle name="Comma 4 2 5 3 2 3" xfId="11818" xr:uid="{E2E755E9-3D0E-4EFE-98F1-808995EFA72F}"/>
    <cellStyle name="Comma 4 2 5 3 3" xfId="5441" xr:uid="{00000000-0005-0000-0000-0000EA080000}"/>
    <cellStyle name="Comma 4 2 5 3 3 2" xfId="13891" xr:uid="{9656138E-20DC-4D4A-BAAD-92796DD014D8}"/>
    <cellStyle name="Comma 4 2 5 3 4" xfId="9673" xr:uid="{702B0654-1834-4BDA-A9BF-C31CA09FEBD8}"/>
    <cellStyle name="Comma 4 2 5 4" xfId="1547" xr:uid="{00000000-0005-0000-0000-0000EB080000}"/>
    <cellStyle name="Comma 4 2 5 4 2" xfId="3777" xr:uid="{00000000-0005-0000-0000-0000EC080000}"/>
    <cellStyle name="Comma 4 2 5 4 2 2" xfId="7999" xr:uid="{00000000-0005-0000-0000-0000ED080000}"/>
    <cellStyle name="Comma 4 2 5 4 2 2 2" xfId="16449" xr:uid="{A582F508-FA8F-49BC-B269-557850DC26A8}"/>
    <cellStyle name="Comma 4 2 5 4 2 3" xfId="12231" xr:uid="{DF6FA9CF-329E-4A70-9A3C-0C591AEA0CB1}"/>
    <cellStyle name="Comma 4 2 5 4 3" xfId="5854" xr:uid="{00000000-0005-0000-0000-0000EE080000}"/>
    <cellStyle name="Comma 4 2 5 4 3 2" xfId="14304" xr:uid="{9BC679C5-44CC-4860-B5AD-00E40E755BFC}"/>
    <cellStyle name="Comma 4 2 5 4 4" xfId="10086" xr:uid="{4E5D9700-FBEF-4B98-BEA0-08667F1906E0}"/>
    <cellStyle name="Comma 4 2 5 5" xfId="1961" xr:uid="{00000000-0005-0000-0000-0000EF080000}"/>
    <cellStyle name="Comma 4 2 5 5 2" xfId="4190" xr:uid="{00000000-0005-0000-0000-0000F0080000}"/>
    <cellStyle name="Comma 4 2 5 5 2 2" xfId="8412" xr:uid="{00000000-0005-0000-0000-0000F1080000}"/>
    <cellStyle name="Comma 4 2 5 5 2 2 2" xfId="16862" xr:uid="{3FA27793-7314-4E69-B44D-52CC396AF353}"/>
    <cellStyle name="Comma 4 2 5 5 2 3" xfId="12644" xr:uid="{1E1562F2-49C0-4DFA-BFD9-9C0D954302D2}"/>
    <cellStyle name="Comma 4 2 5 5 3" xfId="6267" xr:uid="{00000000-0005-0000-0000-0000F2080000}"/>
    <cellStyle name="Comma 4 2 5 5 3 2" xfId="14717" xr:uid="{050A06CC-3144-437A-95B7-7A28FC7F5868}"/>
    <cellStyle name="Comma 4 2 5 5 4" xfId="10499" xr:uid="{3E066F4E-2069-44D3-A704-22B5560956FF}"/>
    <cellStyle name="Comma 4 2 5 6" xfId="2396" xr:uid="{00000000-0005-0000-0000-0000F3080000}"/>
    <cellStyle name="Comma 4 2 5 6 2" xfId="6680" xr:uid="{00000000-0005-0000-0000-0000F4080000}"/>
    <cellStyle name="Comma 4 2 5 6 2 2" xfId="15130" xr:uid="{F1219DA7-1064-4342-B636-E8B1A7F963FA}"/>
    <cellStyle name="Comma 4 2 5 6 3" xfId="10912" xr:uid="{40D4E8D2-BE50-4417-B8F0-15F98875A5BD}"/>
    <cellStyle name="Comma 4 2 5 7" xfId="2367" xr:uid="{00000000-0005-0000-0000-0000F5080000}"/>
    <cellStyle name="Comma 4 2 5 8" xfId="2774" xr:uid="{00000000-0005-0000-0000-0000F6080000}"/>
    <cellStyle name="Comma 4 2 5 8 2" xfId="6997" xr:uid="{00000000-0005-0000-0000-0000F7080000}"/>
    <cellStyle name="Comma 4 2 5 8 2 2" xfId="15447" xr:uid="{B684C3DC-2F3F-4E93-86CD-7BF89FF59B41}"/>
    <cellStyle name="Comma 4 2 5 8 3" xfId="11229" xr:uid="{E9192008-C082-4D31-8A8A-C6E2390BC31D}"/>
    <cellStyle name="Comma 4 2 5 9" xfId="4614" xr:uid="{00000000-0005-0000-0000-0000F8080000}"/>
    <cellStyle name="Comma 4 2 5 9 2" xfId="13064" xr:uid="{100378CB-2581-4F21-97A2-65A0C7D91D16}"/>
    <cellStyle name="Comma 4 2 6" xfId="143" xr:uid="{00000000-0005-0000-0000-0000F9080000}"/>
    <cellStyle name="Comma 4 2 6 10" xfId="8847" xr:uid="{BC07D339-BCFC-41E4-A513-287210F8BAA1}"/>
    <cellStyle name="Comma 4 2 6 2" xfId="681" xr:uid="{00000000-0005-0000-0000-0000FA080000}"/>
    <cellStyle name="Comma 4 2 6 2 2" xfId="2952" xr:uid="{00000000-0005-0000-0000-0000FB080000}"/>
    <cellStyle name="Comma 4 2 6 2 2 2" xfId="7174" xr:uid="{00000000-0005-0000-0000-0000FC080000}"/>
    <cellStyle name="Comma 4 2 6 2 2 2 2" xfId="15624" xr:uid="{0C508A45-0CB7-477E-83A4-079215134AD6}"/>
    <cellStyle name="Comma 4 2 6 2 2 3" xfId="11406" xr:uid="{F0767A4F-5BB6-4817-AE3E-E23864627E31}"/>
    <cellStyle name="Comma 4 2 6 2 3" xfId="5029" xr:uid="{00000000-0005-0000-0000-0000FD080000}"/>
    <cellStyle name="Comma 4 2 6 2 3 2" xfId="13479" xr:uid="{B38CACE6-287B-4896-BE69-17ECFA532EC7}"/>
    <cellStyle name="Comma 4 2 6 2 4" xfId="9261" xr:uid="{7D3163B6-8EFB-4BF3-AB30-A1D9621CD5E8}"/>
    <cellStyle name="Comma 4 2 6 3" xfId="1134" xr:uid="{00000000-0005-0000-0000-0000FE080000}"/>
    <cellStyle name="Comma 4 2 6 3 2" xfId="3365" xr:uid="{00000000-0005-0000-0000-0000FF080000}"/>
    <cellStyle name="Comma 4 2 6 3 2 2" xfId="7587" xr:uid="{00000000-0005-0000-0000-000000090000}"/>
    <cellStyle name="Comma 4 2 6 3 2 2 2" xfId="16037" xr:uid="{D03564FD-6EAC-4809-9938-A44B5A7ADF9B}"/>
    <cellStyle name="Comma 4 2 6 3 2 3" xfId="11819" xr:uid="{05730B4D-EFF3-4FB1-96F9-77E1A24B4EF4}"/>
    <cellStyle name="Comma 4 2 6 3 3" xfId="5442" xr:uid="{00000000-0005-0000-0000-000001090000}"/>
    <cellStyle name="Comma 4 2 6 3 3 2" xfId="13892" xr:uid="{9ED12E29-FE93-4907-9554-0F67C4BB81D0}"/>
    <cellStyle name="Comma 4 2 6 3 4" xfId="9674" xr:uid="{A78FD2BD-CCEE-4BFD-9302-9AA2A6F9428B}"/>
    <cellStyle name="Comma 4 2 6 4" xfId="1548" xr:uid="{00000000-0005-0000-0000-000002090000}"/>
    <cellStyle name="Comma 4 2 6 4 2" xfId="3778" xr:uid="{00000000-0005-0000-0000-000003090000}"/>
    <cellStyle name="Comma 4 2 6 4 2 2" xfId="8000" xr:uid="{00000000-0005-0000-0000-000004090000}"/>
    <cellStyle name="Comma 4 2 6 4 2 2 2" xfId="16450" xr:uid="{244A5DD6-AF5F-49A6-96E0-BE152B4C158C}"/>
    <cellStyle name="Comma 4 2 6 4 2 3" xfId="12232" xr:uid="{A6816E8C-AC2B-4F35-8369-7CF5E1837EFF}"/>
    <cellStyle name="Comma 4 2 6 4 3" xfId="5855" xr:uid="{00000000-0005-0000-0000-000005090000}"/>
    <cellStyle name="Comma 4 2 6 4 3 2" xfId="14305" xr:uid="{EEDC242A-C1EF-4617-9A5B-3B8A41B3F016}"/>
    <cellStyle name="Comma 4 2 6 4 4" xfId="10087" xr:uid="{6EA9B4D2-73E0-49BE-8C04-1CD14C375786}"/>
    <cellStyle name="Comma 4 2 6 5" xfId="1962" xr:uid="{00000000-0005-0000-0000-000006090000}"/>
    <cellStyle name="Comma 4 2 6 5 2" xfId="4191" xr:uid="{00000000-0005-0000-0000-000007090000}"/>
    <cellStyle name="Comma 4 2 6 5 2 2" xfId="8413" xr:uid="{00000000-0005-0000-0000-000008090000}"/>
    <cellStyle name="Comma 4 2 6 5 2 2 2" xfId="16863" xr:uid="{A13053F3-7709-432D-9A11-44EAFB809B36}"/>
    <cellStyle name="Comma 4 2 6 5 2 3" xfId="12645" xr:uid="{F1110AD3-7932-49A6-A05D-0678A030E1A7}"/>
    <cellStyle name="Comma 4 2 6 5 3" xfId="6268" xr:uid="{00000000-0005-0000-0000-000009090000}"/>
    <cellStyle name="Comma 4 2 6 5 3 2" xfId="14718" xr:uid="{EFCCE1C2-9FF2-47CF-99F6-3DDB6169AEA4}"/>
    <cellStyle name="Comma 4 2 6 5 4" xfId="10500" xr:uid="{F33315E3-D5E6-465C-B049-EED5CE514C32}"/>
    <cellStyle name="Comma 4 2 6 6" xfId="2397" xr:uid="{00000000-0005-0000-0000-00000A090000}"/>
    <cellStyle name="Comma 4 2 6 6 2" xfId="6681" xr:uid="{00000000-0005-0000-0000-00000B090000}"/>
    <cellStyle name="Comma 4 2 6 6 2 2" xfId="15131" xr:uid="{B6BEA9C7-3CDB-4773-B96E-365378C3B1C1}"/>
    <cellStyle name="Comma 4 2 6 6 3" xfId="10913" xr:uid="{E9AD4635-AC9D-4BB8-AF46-402935F741AC}"/>
    <cellStyle name="Comma 4 2 6 7" xfId="2366" xr:uid="{00000000-0005-0000-0000-00000C090000}"/>
    <cellStyle name="Comma 4 2 6 8" xfId="2775" xr:uid="{00000000-0005-0000-0000-00000D090000}"/>
    <cellStyle name="Comma 4 2 6 8 2" xfId="6998" xr:uid="{00000000-0005-0000-0000-00000E090000}"/>
    <cellStyle name="Comma 4 2 6 8 2 2" xfId="15448" xr:uid="{2D702CBF-681D-46D8-B55C-6C021E25591C}"/>
    <cellStyle name="Comma 4 2 6 8 3" xfId="11230" xr:uid="{6A750139-8A58-4FF5-B8D7-1C78259253B9}"/>
    <cellStyle name="Comma 4 2 6 9" xfId="4615" xr:uid="{00000000-0005-0000-0000-00000F090000}"/>
    <cellStyle name="Comma 4 2 6 9 2" xfId="13065" xr:uid="{654D56EB-994E-49F0-9857-B0D7FA059B1F}"/>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0 2 2" xfId="15449" xr:uid="{B33FAFD2-912F-4D97-A507-318B53EA05B2}"/>
    <cellStyle name="Comma 4 3 2 10 3" xfId="11231" xr:uid="{82D4535C-B768-4049-9449-FFF767668292}"/>
    <cellStyle name="Comma 4 3 2 11" xfId="4616" xr:uid="{00000000-0005-0000-0000-000014090000}"/>
    <cellStyle name="Comma 4 3 2 11 2" xfId="13066" xr:uid="{D890958F-9966-4C27-93A8-57D89627D61E}"/>
    <cellStyle name="Comma 4 3 2 12" xfId="8848" xr:uid="{B3CFD5AB-8AD9-4353-AF14-0CD63391D2DA}"/>
    <cellStyle name="Comma 4 3 2 2" xfId="146" xr:uid="{00000000-0005-0000-0000-000015090000}"/>
    <cellStyle name="Comma 4 3 2 2 10" xfId="4617" xr:uid="{00000000-0005-0000-0000-000016090000}"/>
    <cellStyle name="Comma 4 3 2 2 10 2" xfId="13067" xr:uid="{DC45BBE7-44B4-416D-B13C-DF3D51ACA783}"/>
    <cellStyle name="Comma 4 3 2 2 11" xfId="8849" xr:uid="{0A14C161-728E-48AE-9B87-7D067A36F54B}"/>
    <cellStyle name="Comma 4 3 2 2 2" xfId="147" xr:uid="{00000000-0005-0000-0000-000017090000}"/>
    <cellStyle name="Comma 4 3 2 2 2 10" xfId="8850" xr:uid="{F242FE8D-B941-42C4-BFB3-6360C28E96F0}"/>
    <cellStyle name="Comma 4 3 2 2 2 2" xfId="684" xr:uid="{00000000-0005-0000-0000-000018090000}"/>
    <cellStyle name="Comma 4 3 2 2 2 2 2" xfId="2955" xr:uid="{00000000-0005-0000-0000-000019090000}"/>
    <cellStyle name="Comma 4 3 2 2 2 2 2 2" xfId="7177" xr:uid="{00000000-0005-0000-0000-00001A090000}"/>
    <cellStyle name="Comma 4 3 2 2 2 2 2 2 2" xfId="15627" xr:uid="{A6352182-A387-49FC-B2E8-936CD8A44777}"/>
    <cellStyle name="Comma 4 3 2 2 2 2 2 3" xfId="11409" xr:uid="{F26373E1-C169-4B90-BB2B-F209CDA625F9}"/>
    <cellStyle name="Comma 4 3 2 2 2 2 3" xfId="5032" xr:uid="{00000000-0005-0000-0000-00001B090000}"/>
    <cellStyle name="Comma 4 3 2 2 2 2 3 2" xfId="13482" xr:uid="{0CD574DE-60F3-4AA0-8584-0F56C600067C}"/>
    <cellStyle name="Comma 4 3 2 2 2 2 4" xfId="9264" xr:uid="{1910B26E-5922-4FFD-A934-317A9862E9F0}"/>
    <cellStyle name="Comma 4 3 2 2 2 3" xfId="1137" xr:uid="{00000000-0005-0000-0000-00001C090000}"/>
    <cellStyle name="Comma 4 3 2 2 2 3 2" xfId="3368" xr:uid="{00000000-0005-0000-0000-00001D090000}"/>
    <cellStyle name="Comma 4 3 2 2 2 3 2 2" xfId="7590" xr:uid="{00000000-0005-0000-0000-00001E090000}"/>
    <cellStyle name="Comma 4 3 2 2 2 3 2 2 2" xfId="16040" xr:uid="{EDD0B633-DE51-48D4-9FD2-BEC3464E1802}"/>
    <cellStyle name="Comma 4 3 2 2 2 3 2 3" xfId="11822" xr:uid="{6391E657-17C3-472D-8D78-7FD75F41CAA9}"/>
    <cellStyle name="Comma 4 3 2 2 2 3 3" xfId="5445" xr:uid="{00000000-0005-0000-0000-00001F090000}"/>
    <cellStyle name="Comma 4 3 2 2 2 3 3 2" xfId="13895" xr:uid="{8A49EFF4-B406-4DA9-8ABF-9E12E910E947}"/>
    <cellStyle name="Comma 4 3 2 2 2 3 4" xfId="9677" xr:uid="{EF06E577-C4CD-46FF-B468-8445A54A8B8F}"/>
    <cellStyle name="Comma 4 3 2 2 2 4" xfId="1551" xr:uid="{00000000-0005-0000-0000-000020090000}"/>
    <cellStyle name="Comma 4 3 2 2 2 4 2" xfId="3781" xr:uid="{00000000-0005-0000-0000-000021090000}"/>
    <cellStyle name="Comma 4 3 2 2 2 4 2 2" xfId="8003" xr:uid="{00000000-0005-0000-0000-000022090000}"/>
    <cellStyle name="Comma 4 3 2 2 2 4 2 2 2" xfId="16453" xr:uid="{2D3E3E7F-3873-4232-A1C6-133F2DD1F36D}"/>
    <cellStyle name="Comma 4 3 2 2 2 4 2 3" xfId="12235" xr:uid="{1BEEF842-FF1D-455D-9E24-40DC10844CE9}"/>
    <cellStyle name="Comma 4 3 2 2 2 4 3" xfId="5858" xr:uid="{00000000-0005-0000-0000-000023090000}"/>
    <cellStyle name="Comma 4 3 2 2 2 4 3 2" xfId="14308" xr:uid="{37440109-9221-4DB7-9627-55D822D82DF7}"/>
    <cellStyle name="Comma 4 3 2 2 2 4 4" xfId="10090" xr:uid="{6D720159-FFDF-45F6-8DCF-B49A13076F91}"/>
    <cellStyle name="Comma 4 3 2 2 2 5" xfId="1965" xr:uid="{00000000-0005-0000-0000-000024090000}"/>
    <cellStyle name="Comma 4 3 2 2 2 5 2" xfId="4194" xr:uid="{00000000-0005-0000-0000-000025090000}"/>
    <cellStyle name="Comma 4 3 2 2 2 5 2 2" xfId="8416" xr:uid="{00000000-0005-0000-0000-000026090000}"/>
    <cellStyle name="Comma 4 3 2 2 2 5 2 2 2" xfId="16866" xr:uid="{51839DA9-A14E-432F-A074-E089F4C5CFED}"/>
    <cellStyle name="Comma 4 3 2 2 2 5 2 3" xfId="12648" xr:uid="{B2981507-A3E0-4B5E-B9B6-5648FB25E96B}"/>
    <cellStyle name="Comma 4 3 2 2 2 5 3" xfId="6271" xr:uid="{00000000-0005-0000-0000-000027090000}"/>
    <cellStyle name="Comma 4 3 2 2 2 5 3 2" xfId="14721" xr:uid="{E2446CC8-D637-450B-ADF9-E5393118B8DB}"/>
    <cellStyle name="Comma 4 3 2 2 2 5 4" xfId="10503" xr:uid="{5FB44261-071C-4687-AE46-3AAC19DE37B0}"/>
    <cellStyle name="Comma 4 3 2 2 2 6" xfId="2400" xr:uid="{00000000-0005-0000-0000-000028090000}"/>
    <cellStyle name="Comma 4 3 2 2 2 6 2" xfId="6684" xr:uid="{00000000-0005-0000-0000-000029090000}"/>
    <cellStyle name="Comma 4 3 2 2 2 6 2 2" xfId="15134" xr:uid="{7BA67D87-FBAF-434D-9417-3515C469B63B}"/>
    <cellStyle name="Comma 4 3 2 2 2 6 3" xfId="10916" xr:uid="{F7689E1F-067E-4577-9380-8B2554A5AC77}"/>
    <cellStyle name="Comma 4 3 2 2 2 7" xfId="2363" xr:uid="{00000000-0005-0000-0000-00002A090000}"/>
    <cellStyle name="Comma 4 3 2 2 2 8" xfId="2778" xr:uid="{00000000-0005-0000-0000-00002B090000}"/>
    <cellStyle name="Comma 4 3 2 2 2 8 2" xfId="7001" xr:uid="{00000000-0005-0000-0000-00002C090000}"/>
    <cellStyle name="Comma 4 3 2 2 2 8 2 2" xfId="15451" xr:uid="{10D3919A-51FC-4441-B9E9-1D6457E8532B}"/>
    <cellStyle name="Comma 4 3 2 2 2 8 3" xfId="11233" xr:uid="{F3192638-B4D1-4997-A1B4-EE0BE8568E61}"/>
    <cellStyle name="Comma 4 3 2 2 2 9" xfId="4618" xr:uid="{00000000-0005-0000-0000-00002D090000}"/>
    <cellStyle name="Comma 4 3 2 2 2 9 2" xfId="13068" xr:uid="{180E5FBF-5C0F-40DB-967A-3774920BE3C7}"/>
    <cellStyle name="Comma 4 3 2 2 3" xfId="683" xr:uid="{00000000-0005-0000-0000-00002E090000}"/>
    <cellStyle name="Comma 4 3 2 2 3 2" xfId="2954" xr:uid="{00000000-0005-0000-0000-00002F090000}"/>
    <cellStyle name="Comma 4 3 2 2 3 2 2" xfId="7176" xr:uid="{00000000-0005-0000-0000-000030090000}"/>
    <cellStyle name="Comma 4 3 2 2 3 2 2 2" xfId="15626" xr:uid="{534F0112-55F5-47F4-AF01-52136F2B7EF9}"/>
    <cellStyle name="Comma 4 3 2 2 3 2 3" xfId="11408" xr:uid="{DBC9BEB5-E407-4F6D-9A67-EBCCAB00246B}"/>
    <cellStyle name="Comma 4 3 2 2 3 3" xfId="5031" xr:uid="{00000000-0005-0000-0000-000031090000}"/>
    <cellStyle name="Comma 4 3 2 2 3 3 2" xfId="13481" xr:uid="{023367D8-11B3-4CB2-BE24-D2C44F50DCCD}"/>
    <cellStyle name="Comma 4 3 2 2 3 4" xfId="9263" xr:uid="{6D3867E4-4BF0-4494-814E-16FCAFF28C25}"/>
    <cellStyle name="Comma 4 3 2 2 4" xfId="1136" xr:uid="{00000000-0005-0000-0000-000032090000}"/>
    <cellStyle name="Comma 4 3 2 2 4 2" xfId="3367" xr:uid="{00000000-0005-0000-0000-000033090000}"/>
    <cellStyle name="Comma 4 3 2 2 4 2 2" xfId="7589" xr:uid="{00000000-0005-0000-0000-000034090000}"/>
    <cellStyle name="Comma 4 3 2 2 4 2 2 2" xfId="16039" xr:uid="{0B1160DC-118F-49FA-8867-0302A679BCB4}"/>
    <cellStyle name="Comma 4 3 2 2 4 2 3" xfId="11821" xr:uid="{454D5333-29F7-4EF5-A6B3-D3CDA63C1A67}"/>
    <cellStyle name="Comma 4 3 2 2 4 3" xfId="5444" xr:uid="{00000000-0005-0000-0000-000035090000}"/>
    <cellStyle name="Comma 4 3 2 2 4 3 2" xfId="13894" xr:uid="{CE0454E2-2787-4E88-AB9D-92AA8034A727}"/>
    <cellStyle name="Comma 4 3 2 2 4 4" xfId="9676" xr:uid="{16B5260E-CF93-412E-9B3A-52FE819D6E90}"/>
    <cellStyle name="Comma 4 3 2 2 5" xfId="1550" xr:uid="{00000000-0005-0000-0000-000036090000}"/>
    <cellStyle name="Comma 4 3 2 2 5 2" xfId="3780" xr:uid="{00000000-0005-0000-0000-000037090000}"/>
    <cellStyle name="Comma 4 3 2 2 5 2 2" xfId="8002" xr:uid="{00000000-0005-0000-0000-000038090000}"/>
    <cellStyle name="Comma 4 3 2 2 5 2 2 2" xfId="16452" xr:uid="{062E9C19-A448-4E23-AB44-F05306F24B90}"/>
    <cellStyle name="Comma 4 3 2 2 5 2 3" xfId="12234" xr:uid="{190D25E0-1742-492E-9AEC-FA8DB12B1A82}"/>
    <cellStyle name="Comma 4 3 2 2 5 3" xfId="5857" xr:uid="{00000000-0005-0000-0000-000039090000}"/>
    <cellStyle name="Comma 4 3 2 2 5 3 2" xfId="14307" xr:uid="{970A8248-A301-4E81-BC38-E2748D17846D}"/>
    <cellStyle name="Comma 4 3 2 2 5 4" xfId="10089" xr:uid="{B02CEDE7-B9B2-4594-A161-3E4DEC6570F6}"/>
    <cellStyle name="Comma 4 3 2 2 6" xfId="1964" xr:uid="{00000000-0005-0000-0000-00003A090000}"/>
    <cellStyle name="Comma 4 3 2 2 6 2" xfId="4193" xr:uid="{00000000-0005-0000-0000-00003B090000}"/>
    <cellStyle name="Comma 4 3 2 2 6 2 2" xfId="8415" xr:uid="{00000000-0005-0000-0000-00003C090000}"/>
    <cellStyle name="Comma 4 3 2 2 6 2 2 2" xfId="16865" xr:uid="{C9974B00-48F5-47DC-A877-A84023FC6187}"/>
    <cellStyle name="Comma 4 3 2 2 6 2 3" xfId="12647" xr:uid="{BBCBFC43-8F43-48A8-9761-D5577FB14310}"/>
    <cellStyle name="Comma 4 3 2 2 6 3" xfId="6270" xr:uid="{00000000-0005-0000-0000-00003D090000}"/>
    <cellStyle name="Comma 4 3 2 2 6 3 2" xfId="14720" xr:uid="{5430FB59-5B97-4C34-B428-33F0C6F2EA05}"/>
    <cellStyle name="Comma 4 3 2 2 6 4" xfId="10502" xr:uid="{AB8DA298-4662-42EB-A7FE-12529AFA86EF}"/>
    <cellStyle name="Comma 4 3 2 2 7" xfId="2399" xr:uid="{00000000-0005-0000-0000-00003E090000}"/>
    <cellStyle name="Comma 4 3 2 2 7 2" xfId="6683" xr:uid="{00000000-0005-0000-0000-00003F090000}"/>
    <cellStyle name="Comma 4 3 2 2 7 2 2" xfId="15133" xr:uid="{448C5E26-2D65-4912-B253-FD88C90B105F}"/>
    <cellStyle name="Comma 4 3 2 2 7 3" xfId="10915" xr:uid="{9159138F-824D-4592-AB0E-7893D724E430}"/>
    <cellStyle name="Comma 4 3 2 2 8" xfId="2364" xr:uid="{00000000-0005-0000-0000-000040090000}"/>
    <cellStyle name="Comma 4 3 2 2 9" xfId="2777" xr:uid="{00000000-0005-0000-0000-000041090000}"/>
    <cellStyle name="Comma 4 3 2 2 9 2" xfId="7000" xr:uid="{00000000-0005-0000-0000-000042090000}"/>
    <cellStyle name="Comma 4 3 2 2 9 2 2" xfId="15450" xr:uid="{0411BB76-8DC8-4240-9D91-4ACE78042EEE}"/>
    <cellStyle name="Comma 4 3 2 2 9 3" xfId="11232" xr:uid="{60EF1D61-EF58-4F0F-8C90-0401FAC20BBD}"/>
    <cellStyle name="Comma 4 3 2 3" xfId="148" xr:uid="{00000000-0005-0000-0000-000043090000}"/>
    <cellStyle name="Comma 4 3 2 3 10" xfId="8851" xr:uid="{61985538-D1C6-4237-B568-EC0670BAB53E}"/>
    <cellStyle name="Comma 4 3 2 3 2" xfId="685" xr:uid="{00000000-0005-0000-0000-000044090000}"/>
    <cellStyle name="Comma 4 3 2 3 2 2" xfId="2956" xr:uid="{00000000-0005-0000-0000-000045090000}"/>
    <cellStyle name="Comma 4 3 2 3 2 2 2" xfId="7178" xr:uid="{00000000-0005-0000-0000-000046090000}"/>
    <cellStyle name="Comma 4 3 2 3 2 2 2 2" xfId="15628" xr:uid="{C8AE3102-9B76-48C6-B3D9-79AB48A8A3FC}"/>
    <cellStyle name="Comma 4 3 2 3 2 2 3" xfId="11410" xr:uid="{97C8A870-17CA-422D-BEBA-BBB1FEB03B8B}"/>
    <cellStyle name="Comma 4 3 2 3 2 3" xfId="5033" xr:uid="{00000000-0005-0000-0000-000047090000}"/>
    <cellStyle name="Comma 4 3 2 3 2 3 2" xfId="13483" xr:uid="{3EB95B6C-3968-4129-A9B0-0CBD03169F19}"/>
    <cellStyle name="Comma 4 3 2 3 2 4" xfId="9265" xr:uid="{237B0489-C278-4D43-B1DE-3D35A4790389}"/>
    <cellStyle name="Comma 4 3 2 3 3" xfId="1138" xr:uid="{00000000-0005-0000-0000-000048090000}"/>
    <cellStyle name="Comma 4 3 2 3 3 2" xfId="3369" xr:uid="{00000000-0005-0000-0000-000049090000}"/>
    <cellStyle name="Comma 4 3 2 3 3 2 2" xfId="7591" xr:uid="{00000000-0005-0000-0000-00004A090000}"/>
    <cellStyle name="Comma 4 3 2 3 3 2 2 2" xfId="16041" xr:uid="{8F9E473C-1AA4-4FBE-9387-4A5C1DE4AF2D}"/>
    <cellStyle name="Comma 4 3 2 3 3 2 3" xfId="11823" xr:uid="{793EA25A-B50F-41FD-9260-7DCA39191724}"/>
    <cellStyle name="Comma 4 3 2 3 3 3" xfId="5446" xr:uid="{00000000-0005-0000-0000-00004B090000}"/>
    <cellStyle name="Comma 4 3 2 3 3 3 2" xfId="13896" xr:uid="{5BE25B74-399A-4758-8C6F-D1E77ACF4328}"/>
    <cellStyle name="Comma 4 3 2 3 3 4" xfId="9678" xr:uid="{0BC690DA-7FC5-4BFF-9D1F-BF8D23389F2F}"/>
    <cellStyle name="Comma 4 3 2 3 4" xfId="1552" xr:uid="{00000000-0005-0000-0000-00004C090000}"/>
    <cellStyle name="Comma 4 3 2 3 4 2" xfId="3782" xr:uid="{00000000-0005-0000-0000-00004D090000}"/>
    <cellStyle name="Comma 4 3 2 3 4 2 2" xfId="8004" xr:uid="{00000000-0005-0000-0000-00004E090000}"/>
    <cellStyle name="Comma 4 3 2 3 4 2 2 2" xfId="16454" xr:uid="{1AA0902B-B6D7-4BB8-9482-B5B692D49470}"/>
    <cellStyle name="Comma 4 3 2 3 4 2 3" xfId="12236" xr:uid="{A4E50D36-6FBD-4F58-ACB7-1B6C145722C3}"/>
    <cellStyle name="Comma 4 3 2 3 4 3" xfId="5859" xr:uid="{00000000-0005-0000-0000-00004F090000}"/>
    <cellStyle name="Comma 4 3 2 3 4 3 2" xfId="14309" xr:uid="{359919A9-C1A7-45E6-BAE8-F9E9FA95F3DC}"/>
    <cellStyle name="Comma 4 3 2 3 4 4" xfId="10091" xr:uid="{CC616F69-1524-424F-B524-C321FEED4ABA}"/>
    <cellStyle name="Comma 4 3 2 3 5" xfId="1966" xr:uid="{00000000-0005-0000-0000-000050090000}"/>
    <cellStyle name="Comma 4 3 2 3 5 2" xfId="4195" xr:uid="{00000000-0005-0000-0000-000051090000}"/>
    <cellStyle name="Comma 4 3 2 3 5 2 2" xfId="8417" xr:uid="{00000000-0005-0000-0000-000052090000}"/>
    <cellStyle name="Comma 4 3 2 3 5 2 2 2" xfId="16867" xr:uid="{A973FEDF-8519-4743-8F9F-1414E0B837C6}"/>
    <cellStyle name="Comma 4 3 2 3 5 2 3" xfId="12649" xr:uid="{C4BD8DBE-6BC6-4292-B62F-626870D6498F}"/>
    <cellStyle name="Comma 4 3 2 3 5 3" xfId="6272" xr:uid="{00000000-0005-0000-0000-000053090000}"/>
    <cellStyle name="Comma 4 3 2 3 5 3 2" xfId="14722" xr:uid="{0C357627-8167-4F15-A6AB-174118843D67}"/>
    <cellStyle name="Comma 4 3 2 3 5 4" xfId="10504" xr:uid="{5C6DE07D-47FA-4D65-A0CB-8D924A59EE1D}"/>
    <cellStyle name="Comma 4 3 2 3 6" xfId="2401" xr:uid="{00000000-0005-0000-0000-000054090000}"/>
    <cellStyle name="Comma 4 3 2 3 6 2" xfId="6685" xr:uid="{00000000-0005-0000-0000-000055090000}"/>
    <cellStyle name="Comma 4 3 2 3 6 2 2" xfId="15135" xr:uid="{88301077-8721-4A94-B344-63E8401DA774}"/>
    <cellStyle name="Comma 4 3 2 3 6 3" xfId="10917" xr:uid="{349B1BBA-0316-4CA0-83F9-6A5B49E1636A}"/>
    <cellStyle name="Comma 4 3 2 3 7" xfId="2362" xr:uid="{00000000-0005-0000-0000-000056090000}"/>
    <cellStyle name="Comma 4 3 2 3 8" xfId="2779" xr:uid="{00000000-0005-0000-0000-000057090000}"/>
    <cellStyle name="Comma 4 3 2 3 8 2" xfId="7002" xr:uid="{00000000-0005-0000-0000-000058090000}"/>
    <cellStyle name="Comma 4 3 2 3 8 2 2" xfId="15452" xr:uid="{33CD0815-7409-47F7-A59D-E9F7A5F172E4}"/>
    <cellStyle name="Comma 4 3 2 3 8 3" xfId="11234" xr:uid="{0710840C-E1D3-48D2-BA4F-3E8660124BF3}"/>
    <cellStyle name="Comma 4 3 2 3 9" xfId="4619" xr:uid="{00000000-0005-0000-0000-000059090000}"/>
    <cellStyle name="Comma 4 3 2 3 9 2" xfId="13069" xr:uid="{CF76AC12-9BF8-4214-BA8F-9479497D50F6}"/>
    <cellStyle name="Comma 4 3 2 4" xfId="682" xr:uid="{00000000-0005-0000-0000-00005A090000}"/>
    <cellStyle name="Comma 4 3 2 4 2" xfId="2953" xr:uid="{00000000-0005-0000-0000-00005B090000}"/>
    <cellStyle name="Comma 4 3 2 4 2 2" xfId="7175" xr:uid="{00000000-0005-0000-0000-00005C090000}"/>
    <cellStyle name="Comma 4 3 2 4 2 2 2" xfId="15625" xr:uid="{646EF462-BA31-4895-8A7D-3EE16FB76622}"/>
    <cellStyle name="Comma 4 3 2 4 2 3" xfId="11407" xr:uid="{A0872AF5-4498-4712-BC6B-42D9B977BD4A}"/>
    <cellStyle name="Comma 4 3 2 4 3" xfId="5030" xr:uid="{00000000-0005-0000-0000-00005D090000}"/>
    <cellStyle name="Comma 4 3 2 4 3 2" xfId="13480" xr:uid="{17645B9B-89C3-4F4C-8049-0AC49CD246F8}"/>
    <cellStyle name="Comma 4 3 2 4 4" xfId="9262" xr:uid="{A583ADC9-017C-447D-9D36-66DC1DBACA43}"/>
    <cellStyle name="Comma 4 3 2 5" xfId="1135" xr:uid="{00000000-0005-0000-0000-00005E090000}"/>
    <cellStyle name="Comma 4 3 2 5 2" xfId="3366" xr:uid="{00000000-0005-0000-0000-00005F090000}"/>
    <cellStyle name="Comma 4 3 2 5 2 2" xfId="7588" xr:uid="{00000000-0005-0000-0000-000060090000}"/>
    <cellStyle name="Comma 4 3 2 5 2 2 2" xfId="16038" xr:uid="{4C5F76AF-0DAA-4700-B82C-7984E85728C5}"/>
    <cellStyle name="Comma 4 3 2 5 2 3" xfId="11820" xr:uid="{550E32DB-7177-4721-B5E8-429BB5E25EA0}"/>
    <cellStyle name="Comma 4 3 2 5 3" xfId="5443" xr:uid="{00000000-0005-0000-0000-000061090000}"/>
    <cellStyle name="Comma 4 3 2 5 3 2" xfId="13893" xr:uid="{85B93217-634B-489B-BF8A-B6810F82DF82}"/>
    <cellStyle name="Comma 4 3 2 5 4" xfId="9675" xr:uid="{E02769E0-62B2-4A0C-94FE-9E8B995E0C7C}"/>
    <cellStyle name="Comma 4 3 2 6" xfId="1549" xr:uid="{00000000-0005-0000-0000-000062090000}"/>
    <cellStyle name="Comma 4 3 2 6 2" xfId="3779" xr:uid="{00000000-0005-0000-0000-000063090000}"/>
    <cellStyle name="Comma 4 3 2 6 2 2" xfId="8001" xr:uid="{00000000-0005-0000-0000-000064090000}"/>
    <cellStyle name="Comma 4 3 2 6 2 2 2" xfId="16451" xr:uid="{F276177D-2537-4955-B616-48A27F17FC29}"/>
    <cellStyle name="Comma 4 3 2 6 2 3" xfId="12233" xr:uid="{43C989F5-3A48-4E7A-815A-E6AA824AED43}"/>
    <cellStyle name="Comma 4 3 2 6 3" xfId="5856" xr:uid="{00000000-0005-0000-0000-000065090000}"/>
    <cellStyle name="Comma 4 3 2 6 3 2" xfId="14306" xr:uid="{702C80E1-F518-4B58-AD33-010CB779FD17}"/>
    <cellStyle name="Comma 4 3 2 6 4" xfId="10088" xr:uid="{41C9505A-8D3B-4A0C-AF05-422D2858F601}"/>
    <cellStyle name="Comma 4 3 2 7" xfId="1963" xr:uid="{00000000-0005-0000-0000-000066090000}"/>
    <cellStyle name="Comma 4 3 2 7 2" xfId="4192" xr:uid="{00000000-0005-0000-0000-000067090000}"/>
    <cellStyle name="Comma 4 3 2 7 2 2" xfId="8414" xr:uid="{00000000-0005-0000-0000-000068090000}"/>
    <cellStyle name="Comma 4 3 2 7 2 2 2" xfId="16864" xr:uid="{D0364DD7-0D7E-4374-8BDD-FBA94CD35B88}"/>
    <cellStyle name="Comma 4 3 2 7 2 3" xfId="12646" xr:uid="{830FE105-A570-4AF1-BAEB-17BD1C373DFF}"/>
    <cellStyle name="Comma 4 3 2 7 3" xfId="6269" xr:uid="{00000000-0005-0000-0000-000069090000}"/>
    <cellStyle name="Comma 4 3 2 7 3 2" xfId="14719" xr:uid="{7F7B6D64-6F83-4A8D-A05D-CFEE56FE26E7}"/>
    <cellStyle name="Comma 4 3 2 7 4" xfId="10501" xr:uid="{AABA7F06-789E-4A86-A3AC-7F84B1AC3899}"/>
    <cellStyle name="Comma 4 3 2 8" xfId="2398" xr:uid="{00000000-0005-0000-0000-00006A090000}"/>
    <cellStyle name="Comma 4 3 2 8 2" xfId="6682" xr:uid="{00000000-0005-0000-0000-00006B090000}"/>
    <cellStyle name="Comma 4 3 2 8 2 2" xfId="15132" xr:uid="{28C88C8C-C814-4971-BAE2-76B8C1A54D46}"/>
    <cellStyle name="Comma 4 3 2 8 3" xfId="10914" xr:uid="{E5042B7B-7BB7-4818-9CAE-9C99220EC31B}"/>
    <cellStyle name="Comma 4 3 2 9" xfId="2365" xr:uid="{00000000-0005-0000-0000-00006C090000}"/>
    <cellStyle name="Comma 4 3 3" xfId="149" xr:uid="{00000000-0005-0000-0000-00006D090000}"/>
    <cellStyle name="Comma 4 3 3 10" xfId="4620" xr:uid="{00000000-0005-0000-0000-00006E090000}"/>
    <cellStyle name="Comma 4 3 3 10 2" xfId="13070" xr:uid="{737CD006-01F5-4C12-92A5-DE0B06E1404B}"/>
    <cellStyle name="Comma 4 3 3 11" xfId="8852" xr:uid="{136FF1C0-06ED-4B6F-B1A0-9E23BEFD9763}"/>
    <cellStyle name="Comma 4 3 3 2" xfId="150" xr:uid="{00000000-0005-0000-0000-00006F090000}"/>
    <cellStyle name="Comma 4 3 3 2 10" xfId="8853" xr:uid="{6ACAD676-3A55-4BCE-B40E-E64CBDA6F6E3}"/>
    <cellStyle name="Comma 4 3 3 2 2" xfId="687" xr:uid="{00000000-0005-0000-0000-000070090000}"/>
    <cellStyle name="Comma 4 3 3 2 2 2" xfId="2958" xr:uid="{00000000-0005-0000-0000-000071090000}"/>
    <cellStyle name="Comma 4 3 3 2 2 2 2" xfId="7180" xr:uid="{00000000-0005-0000-0000-000072090000}"/>
    <cellStyle name="Comma 4 3 3 2 2 2 2 2" xfId="15630" xr:uid="{D0D83456-1721-4BAC-96A4-F78402E70BD0}"/>
    <cellStyle name="Comma 4 3 3 2 2 2 3" xfId="11412" xr:uid="{0FE3F377-17AA-4D2F-BC3A-FA9F7A2072DA}"/>
    <cellStyle name="Comma 4 3 3 2 2 3" xfId="5035" xr:uid="{00000000-0005-0000-0000-000073090000}"/>
    <cellStyle name="Comma 4 3 3 2 2 3 2" xfId="13485" xr:uid="{456743B1-B130-4AA9-8CC8-E74F9A344D37}"/>
    <cellStyle name="Comma 4 3 3 2 2 4" xfId="9267" xr:uid="{8E442ADE-5893-4884-860B-487FD2510247}"/>
    <cellStyle name="Comma 4 3 3 2 3" xfId="1140" xr:uid="{00000000-0005-0000-0000-000074090000}"/>
    <cellStyle name="Comma 4 3 3 2 3 2" xfId="3371" xr:uid="{00000000-0005-0000-0000-000075090000}"/>
    <cellStyle name="Comma 4 3 3 2 3 2 2" xfId="7593" xr:uid="{00000000-0005-0000-0000-000076090000}"/>
    <cellStyle name="Comma 4 3 3 2 3 2 2 2" xfId="16043" xr:uid="{C0F3F1EF-4BFB-4504-BFA7-9580CE8E57E8}"/>
    <cellStyle name="Comma 4 3 3 2 3 2 3" xfId="11825" xr:uid="{CB2B60A1-94F6-412A-9216-3A26D45B68D8}"/>
    <cellStyle name="Comma 4 3 3 2 3 3" xfId="5448" xr:uid="{00000000-0005-0000-0000-000077090000}"/>
    <cellStyle name="Comma 4 3 3 2 3 3 2" xfId="13898" xr:uid="{E7B96BE1-3794-4E24-9750-78C60E7EE446}"/>
    <cellStyle name="Comma 4 3 3 2 3 4" xfId="9680" xr:uid="{E0C298F2-8E73-491A-94A5-B85F6549E27F}"/>
    <cellStyle name="Comma 4 3 3 2 4" xfId="1554" xr:uid="{00000000-0005-0000-0000-000078090000}"/>
    <cellStyle name="Comma 4 3 3 2 4 2" xfId="3784" xr:uid="{00000000-0005-0000-0000-000079090000}"/>
    <cellStyle name="Comma 4 3 3 2 4 2 2" xfId="8006" xr:uid="{00000000-0005-0000-0000-00007A090000}"/>
    <cellStyle name="Comma 4 3 3 2 4 2 2 2" xfId="16456" xr:uid="{3E84356A-FCED-4C61-910E-6BFBB8DA02DC}"/>
    <cellStyle name="Comma 4 3 3 2 4 2 3" xfId="12238" xr:uid="{DD357B70-A251-4B0A-9830-2C4F976B4807}"/>
    <cellStyle name="Comma 4 3 3 2 4 3" xfId="5861" xr:uid="{00000000-0005-0000-0000-00007B090000}"/>
    <cellStyle name="Comma 4 3 3 2 4 3 2" xfId="14311" xr:uid="{3497B28E-636D-45EA-9645-D79D57586CF3}"/>
    <cellStyle name="Comma 4 3 3 2 4 4" xfId="10093" xr:uid="{F7C14F0D-E5E1-4FDB-8047-B7124B188739}"/>
    <cellStyle name="Comma 4 3 3 2 5" xfId="1968" xr:uid="{00000000-0005-0000-0000-00007C090000}"/>
    <cellStyle name="Comma 4 3 3 2 5 2" xfId="4197" xr:uid="{00000000-0005-0000-0000-00007D090000}"/>
    <cellStyle name="Comma 4 3 3 2 5 2 2" xfId="8419" xr:uid="{00000000-0005-0000-0000-00007E090000}"/>
    <cellStyle name="Comma 4 3 3 2 5 2 2 2" xfId="16869" xr:uid="{E920E6DD-57E5-47C9-9A45-30DF5E1CF4B2}"/>
    <cellStyle name="Comma 4 3 3 2 5 2 3" xfId="12651" xr:uid="{07D9880D-0BEB-487D-A540-E1B5903BAC53}"/>
    <cellStyle name="Comma 4 3 3 2 5 3" xfId="6274" xr:uid="{00000000-0005-0000-0000-00007F090000}"/>
    <cellStyle name="Comma 4 3 3 2 5 3 2" xfId="14724" xr:uid="{A30F2DA8-1ECB-476E-B73B-9D21C9149660}"/>
    <cellStyle name="Comma 4 3 3 2 5 4" xfId="10506" xr:uid="{DC81152F-F8AF-4F68-B529-FD384C50FC93}"/>
    <cellStyle name="Comma 4 3 3 2 6" xfId="2403" xr:uid="{00000000-0005-0000-0000-000080090000}"/>
    <cellStyle name="Comma 4 3 3 2 6 2" xfId="6687" xr:uid="{00000000-0005-0000-0000-000081090000}"/>
    <cellStyle name="Comma 4 3 3 2 6 2 2" xfId="15137" xr:uid="{4545A803-555E-4B3B-903E-3A49D0342CE0}"/>
    <cellStyle name="Comma 4 3 3 2 6 3" xfId="10919" xr:uid="{9574DB98-8EC1-4E1B-ACA7-6957448A79BF}"/>
    <cellStyle name="Comma 4 3 3 2 7" xfId="2360" xr:uid="{00000000-0005-0000-0000-000082090000}"/>
    <cellStyle name="Comma 4 3 3 2 8" xfId="2781" xr:uid="{00000000-0005-0000-0000-000083090000}"/>
    <cellStyle name="Comma 4 3 3 2 8 2" xfId="7004" xr:uid="{00000000-0005-0000-0000-000084090000}"/>
    <cellStyle name="Comma 4 3 3 2 8 2 2" xfId="15454" xr:uid="{67EE18D1-828A-415B-8642-DA775EF39D49}"/>
    <cellStyle name="Comma 4 3 3 2 8 3" xfId="11236" xr:uid="{D691113E-3401-4A11-B99F-498358712CD0}"/>
    <cellStyle name="Comma 4 3 3 2 9" xfId="4621" xr:uid="{00000000-0005-0000-0000-000085090000}"/>
    <cellStyle name="Comma 4 3 3 2 9 2" xfId="13071" xr:uid="{A6375EAD-2F01-483A-8D52-1F26C8297270}"/>
    <cellStyle name="Comma 4 3 3 3" xfId="686" xr:uid="{00000000-0005-0000-0000-000086090000}"/>
    <cellStyle name="Comma 4 3 3 3 2" xfId="2957" xr:uid="{00000000-0005-0000-0000-000087090000}"/>
    <cellStyle name="Comma 4 3 3 3 2 2" xfId="7179" xr:uid="{00000000-0005-0000-0000-000088090000}"/>
    <cellStyle name="Comma 4 3 3 3 2 2 2" xfId="15629" xr:uid="{767D4485-9D1B-4B20-B270-5B9D472230EB}"/>
    <cellStyle name="Comma 4 3 3 3 2 3" xfId="11411" xr:uid="{A043D516-89E3-47CC-A3A8-23758B3391DE}"/>
    <cellStyle name="Comma 4 3 3 3 3" xfId="5034" xr:uid="{00000000-0005-0000-0000-000089090000}"/>
    <cellStyle name="Comma 4 3 3 3 3 2" xfId="13484" xr:uid="{F14BB869-7C20-406C-B563-DA37FB22A969}"/>
    <cellStyle name="Comma 4 3 3 3 4" xfId="9266" xr:uid="{2D389FF9-AFFB-4832-A793-3CBD76CB61CF}"/>
    <cellStyle name="Comma 4 3 3 4" xfId="1139" xr:uid="{00000000-0005-0000-0000-00008A090000}"/>
    <cellStyle name="Comma 4 3 3 4 2" xfId="3370" xr:uid="{00000000-0005-0000-0000-00008B090000}"/>
    <cellStyle name="Comma 4 3 3 4 2 2" xfId="7592" xr:uid="{00000000-0005-0000-0000-00008C090000}"/>
    <cellStyle name="Comma 4 3 3 4 2 2 2" xfId="16042" xr:uid="{88520019-BED2-47E3-87FA-283B473614FE}"/>
    <cellStyle name="Comma 4 3 3 4 2 3" xfId="11824" xr:uid="{1A82650A-ED85-42BE-8769-B54246E8A4DD}"/>
    <cellStyle name="Comma 4 3 3 4 3" xfId="5447" xr:uid="{00000000-0005-0000-0000-00008D090000}"/>
    <cellStyle name="Comma 4 3 3 4 3 2" xfId="13897" xr:uid="{84D7792C-1D92-40B7-9F22-67EC6C2BBF50}"/>
    <cellStyle name="Comma 4 3 3 4 4" xfId="9679" xr:uid="{3E8019D2-A314-4F68-B685-85E4F435CC74}"/>
    <cellStyle name="Comma 4 3 3 5" xfId="1553" xr:uid="{00000000-0005-0000-0000-00008E090000}"/>
    <cellStyle name="Comma 4 3 3 5 2" xfId="3783" xr:uid="{00000000-0005-0000-0000-00008F090000}"/>
    <cellStyle name="Comma 4 3 3 5 2 2" xfId="8005" xr:uid="{00000000-0005-0000-0000-000090090000}"/>
    <cellStyle name="Comma 4 3 3 5 2 2 2" xfId="16455" xr:uid="{78C77B0B-8498-4BCD-BEEE-3DD34D6E90F2}"/>
    <cellStyle name="Comma 4 3 3 5 2 3" xfId="12237" xr:uid="{950000A7-DECD-43E8-AD2A-CDD64AB507B3}"/>
    <cellStyle name="Comma 4 3 3 5 3" xfId="5860" xr:uid="{00000000-0005-0000-0000-000091090000}"/>
    <cellStyle name="Comma 4 3 3 5 3 2" xfId="14310" xr:uid="{F23874D5-EEA2-48DA-9626-9F13FB55081A}"/>
    <cellStyle name="Comma 4 3 3 5 4" xfId="10092" xr:uid="{EE55E481-EE64-47AF-A89B-190E4E4E88A9}"/>
    <cellStyle name="Comma 4 3 3 6" xfId="1967" xr:uid="{00000000-0005-0000-0000-000092090000}"/>
    <cellStyle name="Comma 4 3 3 6 2" xfId="4196" xr:uid="{00000000-0005-0000-0000-000093090000}"/>
    <cellStyle name="Comma 4 3 3 6 2 2" xfId="8418" xr:uid="{00000000-0005-0000-0000-000094090000}"/>
    <cellStyle name="Comma 4 3 3 6 2 2 2" xfId="16868" xr:uid="{D227DECA-D2ED-48A0-9866-20B478E7B857}"/>
    <cellStyle name="Comma 4 3 3 6 2 3" xfId="12650" xr:uid="{184EA5A0-53C8-4E79-BC6C-8DECCD63E63B}"/>
    <cellStyle name="Comma 4 3 3 6 3" xfId="6273" xr:uid="{00000000-0005-0000-0000-000095090000}"/>
    <cellStyle name="Comma 4 3 3 6 3 2" xfId="14723" xr:uid="{BBCAC5C8-61F4-4068-8EB5-2C0A0B070B37}"/>
    <cellStyle name="Comma 4 3 3 6 4" xfId="10505" xr:uid="{A8B084EB-A2AD-40CA-9C4C-B02E3026DB31}"/>
    <cellStyle name="Comma 4 3 3 7" xfId="2402" xr:uid="{00000000-0005-0000-0000-000096090000}"/>
    <cellStyle name="Comma 4 3 3 7 2" xfId="6686" xr:uid="{00000000-0005-0000-0000-000097090000}"/>
    <cellStyle name="Comma 4 3 3 7 2 2" xfId="15136" xr:uid="{6A255700-4DD0-4AE1-A754-540276A3A399}"/>
    <cellStyle name="Comma 4 3 3 7 3" xfId="10918" xr:uid="{CE704C03-CB06-4DAA-B3ED-78D659CD5953}"/>
    <cellStyle name="Comma 4 3 3 8" xfId="2361" xr:uid="{00000000-0005-0000-0000-000098090000}"/>
    <cellStyle name="Comma 4 3 3 9" xfId="2780" xr:uid="{00000000-0005-0000-0000-000099090000}"/>
    <cellStyle name="Comma 4 3 3 9 2" xfId="7003" xr:uid="{00000000-0005-0000-0000-00009A090000}"/>
    <cellStyle name="Comma 4 3 3 9 2 2" xfId="15453" xr:uid="{BE7C9B76-AF65-4DB0-A3B6-02C2485FF66A}"/>
    <cellStyle name="Comma 4 3 3 9 3" xfId="11235" xr:uid="{52093968-5D8A-440A-8269-E75D20FC76A4}"/>
    <cellStyle name="Comma 4 3 4" xfId="151" xr:uid="{00000000-0005-0000-0000-00009B090000}"/>
    <cellStyle name="Comma 4 3 4 10" xfId="8854" xr:uid="{75A429A7-03D9-48A9-838E-06F6E73CD45A}"/>
    <cellStyle name="Comma 4 3 4 2" xfId="688" xr:uid="{00000000-0005-0000-0000-00009C090000}"/>
    <cellStyle name="Comma 4 3 4 2 2" xfId="2959" xr:uid="{00000000-0005-0000-0000-00009D090000}"/>
    <cellStyle name="Comma 4 3 4 2 2 2" xfId="7181" xr:uid="{00000000-0005-0000-0000-00009E090000}"/>
    <cellStyle name="Comma 4 3 4 2 2 2 2" xfId="15631" xr:uid="{2C77CCF4-CF8C-41BC-9DCC-96C8B374DFAF}"/>
    <cellStyle name="Comma 4 3 4 2 2 3" xfId="11413" xr:uid="{0F652FAC-536A-4E8C-83C9-B68CABCE93B6}"/>
    <cellStyle name="Comma 4 3 4 2 3" xfId="5036" xr:uid="{00000000-0005-0000-0000-00009F090000}"/>
    <cellStyle name="Comma 4 3 4 2 3 2" xfId="13486" xr:uid="{FB0BE2CF-646A-4FC6-9263-C4EFA2E577CB}"/>
    <cellStyle name="Comma 4 3 4 2 4" xfId="9268" xr:uid="{98F9AF66-67CA-4291-8C7B-FAD11FDC7F7C}"/>
    <cellStyle name="Comma 4 3 4 3" xfId="1141" xr:uid="{00000000-0005-0000-0000-0000A0090000}"/>
    <cellStyle name="Comma 4 3 4 3 2" xfId="3372" xr:uid="{00000000-0005-0000-0000-0000A1090000}"/>
    <cellStyle name="Comma 4 3 4 3 2 2" xfId="7594" xr:uid="{00000000-0005-0000-0000-0000A2090000}"/>
    <cellStyle name="Comma 4 3 4 3 2 2 2" xfId="16044" xr:uid="{BEFD9D3F-8BFE-4F89-ABFA-9E43DEE8DCCE}"/>
    <cellStyle name="Comma 4 3 4 3 2 3" xfId="11826" xr:uid="{DEC14FFB-65A9-4D69-8FA6-4852D6980AA4}"/>
    <cellStyle name="Comma 4 3 4 3 3" xfId="5449" xr:uid="{00000000-0005-0000-0000-0000A3090000}"/>
    <cellStyle name="Comma 4 3 4 3 3 2" xfId="13899" xr:uid="{1BB8C960-168E-426F-8D89-E110E37077CD}"/>
    <cellStyle name="Comma 4 3 4 3 4" xfId="9681" xr:uid="{E6A37B5E-8473-4795-82BC-8F55B1289B9B}"/>
    <cellStyle name="Comma 4 3 4 4" xfId="1555" xr:uid="{00000000-0005-0000-0000-0000A4090000}"/>
    <cellStyle name="Comma 4 3 4 4 2" xfId="3785" xr:uid="{00000000-0005-0000-0000-0000A5090000}"/>
    <cellStyle name="Comma 4 3 4 4 2 2" xfId="8007" xr:uid="{00000000-0005-0000-0000-0000A6090000}"/>
    <cellStyle name="Comma 4 3 4 4 2 2 2" xfId="16457" xr:uid="{D181AEB3-6F01-490D-919B-18C77AEE4A80}"/>
    <cellStyle name="Comma 4 3 4 4 2 3" xfId="12239" xr:uid="{896A4B3B-A79E-4F68-A411-DA6AFBD16909}"/>
    <cellStyle name="Comma 4 3 4 4 3" xfId="5862" xr:uid="{00000000-0005-0000-0000-0000A7090000}"/>
    <cellStyle name="Comma 4 3 4 4 3 2" xfId="14312" xr:uid="{EE2CDF11-0638-4E04-AC8E-ADA909E00EFF}"/>
    <cellStyle name="Comma 4 3 4 4 4" xfId="10094" xr:uid="{D0B439AB-4DF6-4C1B-9CBE-34D661984D4A}"/>
    <cellStyle name="Comma 4 3 4 5" xfId="1969" xr:uid="{00000000-0005-0000-0000-0000A8090000}"/>
    <cellStyle name="Comma 4 3 4 5 2" xfId="4198" xr:uid="{00000000-0005-0000-0000-0000A9090000}"/>
    <cellStyle name="Comma 4 3 4 5 2 2" xfId="8420" xr:uid="{00000000-0005-0000-0000-0000AA090000}"/>
    <cellStyle name="Comma 4 3 4 5 2 2 2" xfId="16870" xr:uid="{50DE1E33-28DD-405B-8529-9C03308D551A}"/>
    <cellStyle name="Comma 4 3 4 5 2 3" xfId="12652" xr:uid="{DAA085A7-F935-4F38-B30F-CE5280E3791F}"/>
    <cellStyle name="Comma 4 3 4 5 3" xfId="6275" xr:uid="{00000000-0005-0000-0000-0000AB090000}"/>
    <cellStyle name="Comma 4 3 4 5 3 2" xfId="14725" xr:uid="{892C2057-9B7F-4194-9D9E-EC8DB1187360}"/>
    <cellStyle name="Comma 4 3 4 5 4" xfId="10507" xr:uid="{F67B14BA-8A96-4CF4-9497-120FA8201576}"/>
    <cellStyle name="Comma 4 3 4 6" xfId="2404" xr:uid="{00000000-0005-0000-0000-0000AC090000}"/>
    <cellStyle name="Comma 4 3 4 6 2" xfId="6688" xr:uid="{00000000-0005-0000-0000-0000AD090000}"/>
    <cellStyle name="Comma 4 3 4 6 2 2" xfId="15138" xr:uid="{350B716D-BEA9-4B59-959C-E15E4264DAFA}"/>
    <cellStyle name="Comma 4 3 4 6 3" xfId="10920" xr:uid="{23B34E8C-91FB-49DA-A8BD-8FF7FC2E85BC}"/>
    <cellStyle name="Comma 4 3 4 7" xfId="2700" xr:uid="{00000000-0005-0000-0000-0000AE090000}"/>
    <cellStyle name="Comma 4 3 4 8" xfId="2782" xr:uid="{00000000-0005-0000-0000-0000AF090000}"/>
    <cellStyle name="Comma 4 3 4 8 2" xfId="7005" xr:uid="{00000000-0005-0000-0000-0000B0090000}"/>
    <cellStyle name="Comma 4 3 4 8 2 2" xfId="15455" xr:uid="{B5AB0EBB-A2C6-41F7-A6EF-07ACCA2FC51F}"/>
    <cellStyle name="Comma 4 3 4 8 3" xfId="11237" xr:uid="{4F53BE5B-5A6A-455F-93C5-7D13F5783222}"/>
    <cellStyle name="Comma 4 3 4 9" xfId="4622" xr:uid="{00000000-0005-0000-0000-0000B1090000}"/>
    <cellStyle name="Comma 4 3 4 9 2" xfId="13072" xr:uid="{30EAA734-8356-4AA0-9AC9-0C46B484CDD0}"/>
    <cellStyle name="Comma 4 3 5" xfId="152" xr:uid="{00000000-0005-0000-0000-0000B2090000}"/>
    <cellStyle name="Comma 4 3 5 10" xfId="8855" xr:uid="{7312CF44-77D2-4F25-9A44-46411F180EC2}"/>
    <cellStyle name="Comma 4 3 5 2" xfId="689" xr:uid="{00000000-0005-0000-0000-0000B3090000}"/>
    <cellStyle name="Comma 4 3 5 2 2" xfId="2960" xr:uid="{00000000-0005-0000-0000-0000B4090000}"/>
    <cellStyle name="Comma 4 3 5 2 2 2" xfId="7182" xr:uid="{00000000-0005-0000-0000-0000B5090000}"/>
    <cellStyle name="Comma 4 3 5 2 2 2 2" xfId="15632" xr:uid="{1294F968-9FF5-40D8-80A1-7396C01B3494}"/>
    <cellStyle name="Comma 4 3 5 2 2 3" xfId="11414" xr:uid="{04515AF1-F3EF-47A2-8E96-B78C7E4F5ED3}"/>
    <cellStyle name="Comma 4 3 5 2 3" xfId="5037" xr:uid="{00000000-0005-0000-0000-0000B6090000}"/>
    <cellStyle name="Comma 4 3 5 2 3 2" xfId="13487" xr:uid="{03D3615A-B06D-4E1C-88B3-6026DFC6BCC6}"/>
    <cellStyle name="Comma 4 3 5 2 4" xfId="9269" xr:uid="{FB530D2A-01D4-48CC-A9A8-FA5A6DB28A6D}"/>
    <cellStyle name="Comma 4 3 5 3" xfId="1142" xr:uid="{00000000-0005-0000-0000-0000B7090000}"/>
    <cellStyle name="Comma 4 3 5 3 2" xfId="3373" xr:uid="{00000000-0005-0000-0000-0000B8090000}"/>
    <cellStyle name="Comma 4 3 5 3 2 2" xfId="7595" xr:uid="{00000000-0005-0000-0000-0000B9090000}"/>
    <cellStyle name="Comma 4 3 5 3 2 2 2" xfId="16045" xr:uid="{BB4E8CD5-1D6B-43B6-9BFC-2210A26030CB}"/>
    <cellStyle name="Comma 4 3 5 3 2 3" xfId="11827" xr:uid="{6849BDCB-8629-4ADD-BF9D-9D2AF0FD4473}"/>
    <cellStyle name="Comma 4 3 5 3 3" xfId="5450" xr:uid="{00000000-0005-0000-0000-0000BA090000}"/>
    <cellStyle name="Comma 4 3 5 3 3 2" xfId="13900" xr:uid="{B649C048-D0E8-4FC1-852A-A9EF1D099CE8}"/>
    <cellStyle name="Comma 4 3 5 3 4" xfId="9682" xr:uid="{5C4552D6-3874-4CD3-BAD6-27B08A7F2B8A}"/>
    <cellStyle name="Comma 4 3 5 4" xfId="1556" xr:uid="{00000000-0005-0000-0000-0000BB090000}"/>
    <cellStyle name="Comma 4 3 5 4 2" xfId="3786" xr:uid="{00000000-0005-0000-0000-0000BC090000}"/>
    <cellStyle name="Comma 4 3 5 4 2 2" xfId="8008" xr:uid="{00000000-0005-0000-0000-0000BD090000}"/>
    <cellStyle name="Comma 4 3 5 4 2 2 2" xfId="16458" xr:uid="{929BC67A-2013-48CE-B580-7762F4A73654}"/>
    <cellStyle name="Comma 4 3 5 4 2 3" xfId="12240" xr:uid="{42F2FD4D-1809-4D56-8727-4A372AE4AD63}"/>
    <cellStyle name="Comma 4 3 5 4 3" xfId="5863" xr:uid="{00000000-0005-0000-0000-0000BE090000}"/>
    <cellStyle name="Comma 4 3 5 4 3 2" xfId="14313" xr:uid="{9CBA39F7-10A1-4B18-94BD-9C912A66E663}"/>
    <cellStyle name="Comma 4 3 5 4 4" xfId="10095" xr:uid="{9F7DABC0-C06B-4273-BBCF-F3622D428FDB}"/>
    <cellStyle name="Comma 4 3 5 5" xfId="1970" xr:uid="{00000000-0005-0000-0000-0000BF090000}"/>
    <cellStyle name="Comma 4 3 5 5 2" xfId="4199" xr:uid="{00000000-0005-0000-0000-0000C0090000}"/>
    <cellStyle name="Comma 4 3 5 5 2 2" xfId="8421" xr:uid="{00000000-0005-0000-0000-0000C1090000}"/>
    <cellStyle name="Comma 4 3 5 5 2 2 2" xfId="16871" xr:uid="{ED520AC0-7213-4A6A-ACAF-EE61D2E1DDC2}"/>
    <cellStyle name="Comma 4 3 5 5 2 3" xfId="12653" xr:uid="{040A60EA-C0F1-4C20-82C7-ACD4A90601C3}"/>
    <cellStyle name="Comma 4 3 5 5 3" xfId="6276" xr:uid="{00000000-0005-0000-0000-0000C2090000}"/>
    <cellStyle name="Comma 4 3 5 5 3 2" xfId="14726" xr:uid="{014B3B1F-36E5-44BB-9F6E-F3D1A6CFF850}"/>
    <cellStyle name="Comma 4 3 5 5 4" xfId="10508" xr:uid="{2EECF909-C9AB-428D-9896-E3D2A221AF6E}"/>
    <cellStyle name="Comma 4 3 5 6" xfId="2405" xr:uid="{00000000-0005-0000-0000-0000C3090000}"/>
    <cellStyle name="Comma 4 3 5 6 2" xfId="6689" xr:uid="{00000000-0005-0000-0000-0000C4090000}"/>
    <cellStyle name="Comma 4 3 5 6 2 2" xfId="15139" xr:uid="{E8C83D36-68AB-423D-A4D8-2AE28C34D081}"/>
    <cellStyle name="Comma 4 3 5 6 3" xfId="10921" xr:uid="{25B49D69-90DF-4EAC-8D66-7517067D63AC}"/>
    <cellStyle name="Comma 4 3 5 7" xfId="2701" xr:uid="{00000000-0005-0000-0000-0000C5090000}"/>
    <cellStyle name="Comma 4 3 5 8" xfId="2783" xr:uid="{00000000-0005-0000-0000-0000C6090000}"/>
    <cellStyle name="Comma 4 3 5 8 2" xfId="7006" xr:uid="{00000000-0005-0000-0000-0000C7090000}"/>
    <cellStyle name="Comma 4 3 5 8 2 2" xfId="15456" xr:uid="{283CB4A9-E2F4-4077-821C-0533B6F17A0F}"/>
    <cellStyle name="Comma 4 3 5 8 3" xfId="11238" xr:uid="{E8A1880A-31FC-48A7-B92A-01AB2E354EA7}"/>
    <cellStyle name="Comma 4 3 5 9" xfId="4623" xr:uid="{00000000-0005-0000-0000-0000C8090000}"/>
    <cellStyle name="Comma 4 3 5 9 2" xfId="13073" xr:uid="{F4327E52-D6E4-4D90-86FB-658438B575C0}"/>
    <cellStyle name="Comma 4 4" xfId="153" xr:uid="{00000000-0005-0000-0000-0000C9090000}"/>
    <cellStyle name="Comma 4 4 10" xfId="2784" xr:uid="{00000000-0005-0000-0000-0000CA090000}"/>
    <cellStyle name="Comma 4 4 10 2" xfId="7007" xr:uid="{00000000-0005-0000-0000-0000CB090000}"/>
    <cellStyle name="Comma 4 4 10 2 2" xfId="15457" xr:uid="{F2E1F6F5-5A54-4135-91DC-8F57D10337FC}"/>
    <cellStyle name="Comma 4 4 10 3" xfId="11239" xr:uid="{2320E1E6-C1A7-4E40-9139-2235556F7E1C}"/>
    <cellStyle name="Comma 4 4 11" xfId="4624" xr:uid="{00000000-0005-0000-0000-0000CC090000}"/>
    <cellStyle name="Comma 4 4 11 2" xfId="13074" xr:uid="{FA139D0B-BF67-47E8-BD6B-9F1389D26E4B}"/>
    <cellStyle name="Comma 4 4 12" xfId="8856" xr:uid="{ED4240B0-C985-4F99-B83B-076635EF82D2}"/>
    <cellStyle name="Comma 4 4 2" xfId="154" xr:uid="{00000000-0005-0000-0000-0000CD090000}"/>
    <cellStyle name="Comma 4 4 2 10" xfId="4625" xr:uid="{00000000-0005-0000-0000-0000CE090000}"/>
    <cellStyle name="Comma 4 4 2 10 2" xfId="13075" xr:uid="{2F2F29BB-5366-4F7A-945A-7878BC1705FB}"/>
    <cellStyle name="Comma 4 4 2 11" xfId="8857" xr:uid="{5356EE7D-1C78-4783-9EFE-5EEB88498028}"/>
    <cellStyle name="Comma 4 4 2 2" xfId="155" xr:uid="{00000000-0005-0000-0000-0000CF090000}"/>
    <cellStyle name="Comma 4 4 2 2 10" xfId="8858" xr:uid="{EC921197-C6D8-435B-8C04-82A7814F8E43}"/>
    <cellStyle name="Comma 4 4 2 2 2" xfId="692" xr:uid="{00000000-0005-0000-0000-0000D0090000}"/>
    <cellStyle name="Comma 4 4 2 2 2 2" xfId="2963" xr:uid="{00000000-0005-0000-0000-0000D1090000}"/>
    <cellStyle name="Comma 4 4 2 2 2 2 2" xfId="7185" xr:uid="{00000000-0005-0000-0000-0000D2090000}"/>
    <cellStyle name="Comma 4 4 2 2 2 2 2 2" xfId="15635" xr:uid="{403DB6FA-FAD8-45CD-9949-D94BAEE270E9}"/>
    <cellStyle name="Comma 4 4 2 2 2 2 3" xfId="11417" xr:uid="{9D483C60-F229-4D27-BAF8-AEB1D7D91377}"/>
    <cellStyle name="Comma 4 4 2 2 2 3" xfId="5040" xr:uid="{00000000-0005-0000-0000-0000D3090000}"/>
    <cellStyle name="Comma 4 4 2 2 2 3 2" xfId="13490" xr:uid="{B411FF72-5DBC-4AA8-B352-9C548EA71E92}"/>
    <cellStyle name="Comma 4 4 2 2 2 4" xfId="9272" xr:uid="{629D9A48-C939-484C-9835-034523BBFF1A}"/>
    <cellStyle name="Comma 4 4 2 2 3" xfId="1145" xr:uid="{00000000-0005-0000-0000-0000D4090000}"/>
    <cellStyle name="Comma 4 4 2 2 3 2" xfId="3376" xr:uid="{00000000-0005-0000-0000-0000D5090000}"/>
    <cellStyle name="Comma 4 4 2 2 3 2 2" xfId="7598" xr:uid="{00000000-0005-0000-0000-0000D6090000}"/>
    <cellStyle name="Comma 4 4 2 2 3 2 2 2" xfId="16048" xr:uid="{9E0014C8-4695-4129-8BE8-9ADD29D5BF04}"/>
    <cellStyle name="Comma 4 4 2 2 3 2 3" xfId="11830" xr:uid="{5F136B2C-231C-498F-95E6-23B3E13CF9AB}"/>
    <cellStyle name="Comma 4 4 2 2 3 3" xfId="5453" xr:uid="{00000000-0005-0000-0000-0000D7090000}"/>
    <cellStyle name="Comma 4 4 2 2 3 3 2" xfId="13903" xr:uid="{EB562818-6856-4947-9DF2-D01B80A040CA}"/>
    <cellStyle name="Comma 4 4 2 2 3 4" xfId="9685" xr:uid="{B0C6D053-7D16-45EC-87E0-C3F8CBD77CF7}"/>
    <cellStyle name="Comma 4 4 2 2 4" xfId="1559" xr:uid="{00000000-0005-0000-0000-0000D8090000}"/>
    <cellStyle name="Comma 4 4 2 2 4 2" xfId="3789" xr:uid="{00000000-0005-0000-0000-0000D9090000}"/>
    <cellStyle name="Comma 4 4 2 2 4 2 2" xfId="8011" xr:uid="{00000000-0005-0000-0000-0000DA090000}"/>
    <cellStyle name="Comma 4 4 2 2 4 2 2 2" xfId="16461" xr:uid="{F988535B-F806-4122-81ED-B91F635A0D9E}"/>
    <cellStyle name="Comma 4 4 2 2 4 2 3" xfId="12243" xr:uid="{C04216E9-DE2B-426D-8AE2-5B4F34D6F247}"/>
    <cellStyle name="Comma 4 4 2 2 4 3" xfId="5866" xr:uid="{00000000-0005-0000-0000-0000DB090000}"/>
    <cellStyle name="Comma 4 4 2 2 4 3 2" xfId="14316" xr:uid="{856251EA-6516-47C9-8AE1-E8ADD07D2D2D}"/>
    <cellStyle name="Comma 4 4 2 2 4 4" xfId="10098" xr:uid="{F27171EF-2139-4983-8176-2F4BBCDCF3D0}"/>
    <cellStyle name="Comma 4 4 2 2 5" xfId="1973" xr:uid="{00000000-0005-0000-0000-0000DC090000}"/>
    <cellStyle name="Comma 4 4 2 2 5 2" xfId="4202" xr:uid="{00000000-0005-0000-0000-0000DD090000}"/>
    <cellStyle name="Comma 4 4 2 2 5 2 2" xfId="8424" xr:uid="{00000000-0005-0000-0000-0000DE090000}"/>
    <cellStyle name="Comma 4 4 2 2 5 2 2 2" xfId="16874" xr:uid="{23601DB6-8BD5-4AD6-8E03-32301AEEB88E}"/>
    <cellStyle name="Comma 4 4 2 2 5 2 3" xfId="12656" xr:uid="{341BA704-44D7-4F2D-8D07-D73BC07FCF91}"/>
    <cellStyle name="Comma 4 4 2 2 5 3" xfId="6279" xr:uid="{00000000-0005-0000-0000-0000DF090000}"/>
    <cellStyle name="Comma 4 4 2 2 5 3 2" xfId="14729" xr:uid="{7FE870CD-8D2D-439A-AF61-1649A2C43BD2}"/>
    <cellStyle name="Comma 4 4 2 2 5 4" xfId="10511" xr:uid="{CEE6ADD9-9ABE-4F26-A566-D7322F0010A3}"/>
    <cellStyle name="Comma 4 4 2 2 6" xfId="2408" xr:uid="{00000000-0005-0000-0000-0000E0090000}"/>
    <cellStyle name="Comma 4 4 2 2 6 2" xfId="6692" xr:uid="{00000000-0005-0000-0000-0000E1090000}"/>
    <cellStyle name="Comma 4 4 2 2 6 2 2" xfId="15142" xr:uid="{BD8AF424-955A-4C97-9431-F8EBE0F8517E}"/>
    <cellStyle name="Comma 4 4 2 2 6 3" xfId="10924" xr:uid="{0C532306-D37A-4C97-8A58-B161D442064D}"/>
    <cellStyle name="Comma 4 4 2 2 7" xfId="2704" xr:uid="{00000000-0005-0000-0000-0000E2090000}"/>
    <cellStyle name="Comma 4 4 2 2 8" xfId="2786" xr:uid="{00000000-0005-0000-0000-0000E3090000}"/>
    <cellStyle name="Comma 4 4 2 2 8 2" xfId="7009" xr:uid="{00000000-0005-0000-0000-0000E4090000}"/>
    <cellStyle name="Comma 4 4 2 2 8 2 2" xfId="15459" xr:uid="{F03E9E1D-FD1D-4A9C-95CB-E0FCD8F6F717}"/>
    <cellStyle name="Comma 4 4 2 2 8 3" xfId="11241" xr:uid="{64267EA9-2FE1-4CDA-991D-D195E38328AD}"/>
    <cellStyle name="Comma 4 4 2 2 9" xfId="4626" xr:uid="{00000000-0005-0000-0000-0000E5090000}"/>
    <cellStyle name="Comma 4 4 2 2 9 2" xfId="13076" xr:uid="{87F49D7A-40ED-4CE8-A374-83B966919346}"/>
    <cellStyle name="Comma 4 4 2 3" xfId="691" xr:uid="{00000000-0005-0000-0000-0000E6090000}"/>
    <cellStyle name="Comma 4 4 2 3 2" xfId="2962" xr:uid="{00000000-0005-0000-0000-0000E7090000}"/>
    <cellStyle name="Comma 4 4 2 3 2 2" xfId="7184" xr:uid="{00000000-0005-0000-0000-0000E8090000}"/>
    <cellStyle name="Comma 4 4 2 3 2 2 2" xfId="15634" xr:uid="{386430B8-7B26-45E6-A046-E8BE7B1C356E}"/>
    <cellStyle name="Comma 4 4 2 3 2 3" xfId="11416" xr:uid="{6E4AFA36-BC03-4A43-B107-6DBA4555A691}"/>
    <cellStyle name="Comma 4 4 2 3 3" xfId="5039" xr:uid="{00000000-0005-0000-0000-0000E9090000}"/>
    <cellStyle name="Comma 4 4 2 3 3 2" xfId="13489" xr:uid="{554AFD09-06E7-477B-B78B-893348591F6B}"/>
    <cellStyle name="Comma 4 4 2 3 4" xfId="9271" xr:uid="{01A5708C-5D44-4450-84D8-B3C2358848C7}"/>
    <cellStyle name="Comma 4 4 2 4" xfId="1144" xr:uid="{00000000-0005-0000-0000-0000EA090000}"/>
    <cellStyle name="Comma 4 4 2 4 2" xfId="3375" xr:uid="{00000000-0005-0000-0000-0000EB090000}"/>
    <cellStyle name="Comma 4 4 2 4 2 2" xfId="7597" xr:uid="{00000000-0005-0000-0000-0000EC090000}"/>
    <cellStyle name="Comma 4 4 2 4 2 2 2" xfId="16047" xr:uid="{72520BBD-7231-44BD-9FE9-E82AB6F0967F}"/>
    <cellStyle name="Comma 4 4 2 4 2 3" xfId="11829" xr:uid="{2C719A0B-493F-4B92-9B9C-C7094B4A7825}"/>
    <cellStyle name="Comma 4 4 2 4 3" xfId="5452" xr:uid="{00000000-0005-0000-0000-0000ED090000}"/>
    <cellStyle name="Comma 4 4 2 4 3 2" xfId="13902" xr:uid="{98DBF97F-3892-47A7-99FF-2F7AA42EB0BD}"/>
    <cellStyle name="Comma 4 4 2 4 4" xfId="9684" xr:uid="{16610607-2C06-47EB-A738-3FB5DF822E72}"/>
    <cellStyle name="Comma 4 4 2 5" xfId="1558" xr:uid="{00000000-0005-0000-0000-0000EE090000}"/>
    <cellStyle name="Comma 4 4 2 5 2" xfId="3788" xr:uid="{00000000-0005-0000-0000-0000EF090000}"/>
    <cellStyle name="Comma 4 4 2 5 2 2" xfId="8010" xr:uid="{00000000-0005-0000-0000-0000F0090000}"/>
    <cellStyle name="Comma 4 4 2 5 2 2 2" xfId="16460" xr:uid="{CCE2C6D6-B4FE-4244-907E-BF684AC8085B}"/>
    <cellStyle name="Comma 4 4 2 5 2 3" xfId="12242" xr:uid="{139B6676-97B2-4FD1-A282-CC6F6B7C4400}"/>
    <cellStyle name="Comma 4 4 2 5 3" xfId="5865" xr:uid="{00000000-0005-0000-0000-0000F1090000}"/>
    <cellStyle name="Comma 4 4 2 5 3 2" xfId="14315" xr:uid="{9B912CD8-828F-4A0F-934B-BDFE729A04ED}"/>
    <cellStyle name="Comma 4 4 2 5 4" xfId="10097" xr:uid="{5EA8DD63-282E-4F8A-A032-5A3979438253}"/>
    <cellStyle name="Comma 4 4 2 6" xfId="1972" xr:uid="{00000000-0005-0000-0000-0000F2090000}"/>
    <cellStyle name="Comma 4 4 2 6 2" xfId="4201" xr:uid="{00000000-0005-0000-0000-0000F3090000}"/>
    <cellStyle name="Comma 4 4 2 6 2 2" xfId="8423" xr:uid="{00000000-0005-0000-0000-0000F4090000}"/>
    <cellStyle name="Comma 4 4 2 6 2 2 2" xfId="16873" xr:uid="{FABA3EBD-A3B1-46D5-B0CF-00300B14E82E}"/>
    <cellStyle name="Comma 4 4 2 6 2 3" xfId="12655" xr:uid="{94DD0531-F2CD-414D-A28C-59B5665EF57A}"/>
    <cellStyle name="Comma 4 4 2 6 3" xfId="6278" xr:uid="{00000000-0005-0000-0000-0000F5090000}"/>
    <cellStyle name="Comma 4 4 2 6 3 2" xfId="14728" xr:uid="{13B58BAF-9487-4AA5-BEC3-9E0B027C2A83}"/>
    <cellStyle name="Comma 4 4 2 6 4" xfId="10510" xr:uid="{3E57B273-4B42-4FDA-AE41-0B006D72363D}"/>
    <cellStyle name="Comma 4 4 2 7" xfId="2407" xr:uid="{00000000-0005-0000-0000-0000F6090000}"/>
    <cellStyle name="Comma 4 4 2 7 2" xfId="6691" xr:uid="{00000000-0005-0000-0000-0000F7090000}"/>
    <cellStyle name="Comma 4 4 2 7 2 2" xfId="15141" xr:uid="{09403309-A032-4DA9-A306-C1EFBA0CE428}"/>
    <cellStyle name="Comma 4 4 2 7 3" xfId="10923" xr:uid="{222137E1-0021-45DF-8AED-F580FAFD60FD}"/>
    <cellStyle name="Comma 4 4 2 8" xfId="2703" xr:uid="{00000000-0005-0000-0000-0000F8090000}"/>
    <cellStyle name="Comma 4 4 2 9" xfId="2785" xr:uid="{00000000-0005-0000-0000-0000F9090000}"/>
    <cellStyle name="Comma 4 4 2 9 2" xfId="7008" xr:uid="{00000000-0005-0000-0000-0000FA090000}"/>
    <cellStyle name="Comma 4 4 2 9 2 2" xfId="15458" xr:uid="{A2EB958E-7743-4C39-85BD-B48BBCB7F911}"/>
    <cellStyle name="Comma 4 4 2 9 3" xfId="11240" xr:uid="{531F9F23-5CDA-4017-A646-9E9926F8EE63}"/>
    <cellStyle name="Comma 4 4 3" xfId="156" xr:uid="{00000000-0005-0000-0000-0000FB090000}"/>
    <cellStyle name="Comma 4 4 3 10" xfId="8859" xr:uid="{42BCA976-D157-4072-B244-4A14C97E3DB1}"/>
    <cellStyle name="Comma 4 4 3 2" xfId="693" xr:uid="{00000000-0005-0000-0000-0000FC090000}"/>
    <cellStyle name="Comma 4 4 3 2 2" xfId="2964" xr:uid="{00000000-0005-0000-0000-0000FD090000}"/>
    <cellStyle name="Comma 4 4 3 2 2 2" xfId="7186" xr:uid="{00000000-0005-0000-0000-0000FE090000}"/>
    <cellStyle name="Comma 4 4 3 2 2 2 2" xfId="15636" xr:uid="{1E3AD78B-24A8-4308-854A-025552251283}"/>
    <cellStyle name="Comma 4 4 3 2 2 3" xfId="11418" xr:uid="{27B9FACE-2574-4722-B1F1-36A7A11293A5}"/>
    <cellStyle name="Comma 4 4 3 2 3" xfId="5041" xr:uid="{00000000-0005-0000-0000-0000FF090000}"/>
    <cellStyle name="Comma 4 4 3 2 3 2" xfId="13491" xr:uid="{7CC85E3F-6405-4972-8232-AFB51314B3F4}"/>
    <cellStyle name="Comma 4 4 3 2 4" xfId="9273" xr:uid="{7FCBD466-8648-4296-9338-8C86297D3494}"/>
    <cellStyle name="Comma 4 4 3 3" xfId="1146" xr:uid="{00000000-0005-0000-0000-0000000A0000}"/>
    <cellStyle name="Comma 4 4 3 3 2" xfId="3377" xr:uid="{00000000-0005-0000-0000-0000010A0000}"/>
    <cellStyle name="Comma 4 4 3 3 2 2" xfId="7599" xr:uid="{00000000-0005-0000-0000-0000020A0000}"/>
    <cellStyle name="Comma 4 4 3 3 2 2 2" xfId="16049" xr:uid="{8E73F3AD-5450-4F72-B496-F83C9EEC87BC}"/>
    <cellStyle name="Comma 4 4 3 3 2 3" xfId="11831" xr:uid="{B982F538-2E59-445F-A416-7D9C180AA8BF}"/>
    <cellStyle name="Comma 4 4 3 3 3" xfId="5454" xr:uid="{00000000-0005-0000-0000-0000030A0000}"/>
    <cellStyle name="Comma 4 4 3 3 3 2" xfId="13904" xr:uid="{D40578B0-D247-4026-BC78-816202FC65C4}"/>
    <cellStyle name="Comma 4 4 3 3 4" xfId="9686" xr:uid="{E041509C-7E80-49C9-86A5-36909D8EFEAE}"/>
    <cellStyle name="Comma 4 4 3 4" xfId="1560" xr:uid="{00000000-0005-0000-0000-0000040A0000}"/>
    <cellStyle name="Comma 4 4 3 4 2" xfId="3790" xr:uid="{00000000-0005-0000-0000-0000050A0000}"/>
    <cellStyle name="Comma 4 4 3 4 2 2" xfId="8012" xr:uid="{00000000-0005-0000-0000-0000060A0000}"/>
    <cellStyle name="Comma 4 4 3 4 2 2 2" xfId="16462" xr:uid="{6D2CBCC4-3A14-45AD-9150-501D4F5F2ACF}"/>
    <cellStyle name="Comma 4 4 3 4 2 3" xfId="12244" xr:uid="{6A99F0BC-69C4-4BE7-87D2-8763D78CF07D}"/>
    <cellStyle name="Comma 4 4 3 4 3" xfId="5867" xr:uid="{00000000-0005-0000-0000-0000070A0000}"/>
    <cellStyle name="Comma 4 4 3 4 3 2" xfId="14317" xr:uid="{4905E865-F0B2-4A17-BADF-F560C66B320A}"/>
    <cellStyle name="Comma 4 4 3 4 4" xfId="10099" xr:uid="{D1103584-D7B6-4A7B-9F76-81BB2C4A627E}"/>
    <cellStyle name="Comma 4 4 3 5" xfId="1974" xr:uid="{00000000-0005-0000-0000-0000080A0000}"/>
    <cellStyle name="Comma 4 4 3 5 2" xfId="4203" xr:uid="{00000000-0005-0000-0000-0000090A0000}"/>
    <cellStyle name="Comma 4 4 3 5 2 2" xfId="8425" xr:uid="{00000000-0005-0000-0000-00000A0A0000}"/>
    <cellStyle name="Comma 4 4 3 5 2 2 2" xfId="16875" xr:uid="{BBD81E1F-5D9A-4ABC-BE95-B9F772E075CD}"/>
    <cellStyle name="Comma 4 4 3 5 2 3" xfId="12657" xr:uid="{493E5C8D-1CD4-4F5C-94D3-96611637C443}"/>
    <cellStyle name="Comma 4 4 3 5 3" xfId="6280" xr:uid="{00000000-0005-0000-0000-00000B0A0000}"/>
    <cellStyle name="Comma 4 4 3 5 3 2" xfId="14730" xr:uid="{F14BC3BA-312A-4A2C-A6DD-6F71297E20C9}"/>
    <cellStyle name="Comma 4 4 3 5 4" xfId="10512" xr:uid="{E315698B-3B1C-42FB-96C9-6D51C0A57B1A}"/>
    <cellStyle name="Comma 4 4 3 6" xfId="2409" xr:uid="{00000000-0005-0000-0000-00000C0A0000}"/>
    <cellStyle name="Comma 4 4 3 6 2" xfId="6693" xr:uid="{00000000-0005-0000-0000-00000D0A0000}"/>
    <cellStyle name="Comma 4 4 3 6 2 2" xfId="15143" xr:uid="{BB217BF8-4F5E-40C7-BD91-B5291D535AF5}"/>
    <cellStyle name="Comma 4 4 3 6 3" xfId="10925" xr:uid="{7B4FD64D-8D6C-4626-9F03-4D6C1F3201C5}"/>
    <cellStyle name="Comma 4 4 3 7" xfId="2705" xr:uid="{00000000-0005-0000-0000-00000E0A0000}"/>
    <cellStyle name="Comma 4 4 3 8" xfId="2787" xr:uid="{00000000-0005-0000-0000-00000F0A0000}"/>
    <cellStyle name="Comma 4 4 3 8 2" xfId="7010" xr:uid="{00000000-0005-0000-0000-0000100A0000}"/>
    <cellStyle name="Comma 4 4 3 8 2 2" xfId="15460" xr:uid="{F57A64B1-900B-4E63-ADDF-524E838914FC}"/>
    <cellStyle name="Comma 4 4 3 8 3" xfId="11242" xr:uid="{C7527050-1397-4CD0-8283-588B9039AA49}"/>
    <cellStyle name="Comma 4 4 3 9" xfId="4627" xr:uid="{00000000-0005-0000-0000-0000110A0000}"/>
    <cellStyle name="Comma 4 4 3 9 2" xfId="13077" xr:uid="{D6B4EED9-F753-4660-82D0-B542B4645BB6}"/>
    <cellStyle name="Comma 4 4 4" xfId="690" xr:uid="{00000000-0005-0000-0000-0000120A0000}"/>
    <cellStyle name="Comma 4 4 4 2" xfId="2961" xr:uid="{00000000-0005-0000-0000-0000130A0000}"/>
    <cellStyle name="Comma 4 4 4 2 2" xfId="7183" xr:uid="{00000000-0005-0000-0000-0000140A0000}"/>
    <cellStyle name="Comma 4 4 4 2 2 2" xfId="15633" xr:uid="{28E27560-DCBA-4F3D-9705-23F7FE1E2F19}"/>
    <cellStyle name="Comma 4 4 4 2 3" xfId="11415" xr:uid="{F6BFE9B5-23FC-40A4-B3E9-1E06A8FFB2AC}"/>
    <cellStyle name="Comma 4 4 4 3" xfId="5038" xr:uid="{00000000-0005-0000-0000-0000150A0000}"/>
    <cellStyle name="Comma 4 4 4 3 2" xfId="13488" xr:uid="{181148CD-DEF9-4CD9-B8EC-B81115A640EE}"/>
    <cellStyle name="Comma 4 4 4 4" xfId="9270" xr:uid="{FBE8530A-F3A9-4448-B661-874A6EA5C618}"/>
    <cellStyle name="Comma 4 4 5" xfId="1143" xr:uid="{00000000-0005-0000-0000-0000160A0000}"/>
    <cellStyle name="Comma 4 4 5 2" xfId="3374" xr:uid="{00000000-0005-0000-0000-0000170A0000}"/>
    <cellStyle name="Comma 4 4 5 2 2" xfId="7596" xr:uid="{00000000-0005-0000-0000-0000180A0000}"/>
    <cellStyle name="Comma 4 4 5 2 2 2" xfId="16046" xr:uid="{0E698B0B-26B2-4F9B-9589-ED036E3A4275}"/>
    <cellStyle name="Comma 4 4 5 2 3" xfId="11828" xr:uid="{36E04F52-05FD-479D-9BB1-556B54578BDF}"/>
    <cellStyle name="Comma 4 4 5 3" xfId="5451" xr:uid="{00000000-0005-0000-0000-0000190A0000}"/>
    <cellStyle name="Comma 4 4 5 3 2" xfId="13901" xr:uid="{57C0BA66-F71F-47C5-BE3A-BFAC2E6997D0}"/>
    <cellStyle name="Comma 4 4 5 4" xfId="9683" xr:uid="{4F7E0051-71D6-48B3-91D5-9E0F12C6A335}"/>
    <cellStyle name="Comma 4 4 6" xfId="1557" xr:uid="{00000000-0005-0000-0000-00001A0A0000}"/>
    <cellStyle name="Comma 4 4 6 2" xfId="3787" xr:uid="{00000000-0005-0000-0000-00001B0A0000}"/>
    <cellStyle name="Comma 4 4 6 2 2" xfId="8009" xr:uid="{00000000-0005-0000-0000-00001C0A0000}"/>
    <cellStyle name="Comma 4 4 6 2 2 2" xfId="16459" xr:uid="{738B0035-3E52-461D-AE1D-F19A8EA7DB88}"/>
    <cellStyle name="Comma 4 4 6 2 3" xfId="12241" xr:uid="{E7B563D4-9054-4707-9E46-1EDE75449D4D}"/>
    <cellStyle name="Comma 4 4 6 3" xfId="5864" xr:uid="{00000000-0005-0000-0000-00001D0A0000}"/>
    <cellStyle name="Comma 4 4 6 3 2" xfId="14314" xr:uid="{64DE6A3B-D867-4CB8-AC13-278D314F2098}"/>
    <cellStyle name="Comma 4 4 6 4" xfId="10096" xr:uid="{EA6B2824-E529-4457-8B74-836BC41E2B13}"/>
    <cellStyle name="Comma 4 4 7" xfId="1971" xr:uid="{00000000-0005-0000-0000-00001E0A0000}"/>
    <cellStyle name="Comma 4 4 7 2" xfId="4200" xr:uid="{00000000-0005-0000-0000-00001F0A0000}"/>
    <cellStyle name="Comma 4 4 7 2 2" xfId="8422" xr:uid="{00000000-0005-0000-0000-0000200A0000}"/>
    <cellStyle name="Comma 4 4 7 2 2 2" xfId="16872" xr:uid="{713D5292-250B-4484-A31E-49B8923A782D}"/>
    <cellStyle name="Comma 4 4 7 2 3" xfId="12654" xr:uid="{D1B6D2E3-FEBE-489F-B358-28444C5B2CE2}"/>
    <cellStyle name="Comma 4 4 7 3" xfId="6277" xr:uid="{00000000-0005-0000-0000-0000210A0000}"/>
    <cellStyle name="Comma 4 4 7 3 2" xfId="14727" xr:uid="{EB26A616-DA9A-4A5C-AF9A-FEE8E73B983A}"/>
    <cellStyle name="Comma 4 4 7 4" xfId="10509" xr:uid="{E71EE88D-DC15-4BF2-A065-D608BB26DAE5}"/>
    <cellStyle name="Comma 4 4 8" xfId="2406" xr:uid="{00000000-0005-0000-0000-0000220A0000}"/>
    <cellStyle name="Comma 4 4 8 2" xfId="6690" xr:uid="{00000000-0005-0000-0000-0000230A0000}"/>
    <cellStyle name="Comma 4 4 8 2 2" xfId="15140" xr:uid="{4389A220-CE56-4215-9400-51EA34E02881}"/>
    <cellStyle name="Comma 4 4 8 3" xfId="10922" xr:uid="{75019F66-1942-4F94-87E0-473DDEA4A8DC}"/>
    <cellStyle name="Comma 4 4 9" xfId="2702" xr:uid="{00000000-0005-0000-0000-0000240A0000}"/>
    <cellStyle name="Comma 4 5" xfId="157" xr:uid="{00000000-0005-0000-0000-0000250A0000}"/>
    <cellStyle name="Comma 4 5 10" xfId="4628" xr:uid="{00000000-0005-0000-0000-0000260A0000}"/>
    <cellStyle name="Comma 4 5 10 2" xfId="13078" xr:uid="{1F9914F5-2249-435A-B2B5-49D39543E503}"/>
    <cellStyle name="Comma 4 5 11" xfId="8860" xr:uid="{BAB3E130-61B6-492E-A6EE-AA5D93F6E664}"/>
    <cellStyle name="Comma 4 5 2" xfId="158" xr:uid="{00000000-0005-0000-0000-0000270A0000}"/>
    <cellStyle name="Comma 4 5 2 10" xfId="8861" xr:uid="{CFC54824-5865-4138-BBD7-DAB473F0D901}"/>
    <cellStyle name="Comma 4 5 2 2" xfId="695" xr:uid="{00000000-0005-0000-0000-0000280A0000}"/>
    <cellStyle name="Comma 4 5 2 2 2" xfId="2966" xr:uid="{00000000-0005-0000-0000-0000290A0000}"/>
    <cellStyle name="Comma 4 5 2 2 2 2" xfId="7188" xr:uid="{00000000-0005-0000-0000-00002A0A0000}"/>
    <cellStyle name="Comma 4 5 2 2 2 2 2" xfId="15638" xr:uid="{557C5A66-DA99-4404-AC19-E7388C85E6E1}"/>
    <cellStyle name="Comma 4 5 2 2 2 3" xfId="11420" xr:uid="{6454D2A8-7462-4436-BA76-5A78F0C5CBC2}"/>
    <cellStyle name="Comma 4 5 2 2 3" xfId="5043" xr:uid="{00000000-0005-0000-0000-00002B0A0000}"/>
    <cellStyle name="Comma 4 5 2 2 3 2" xfId="13493" xr:uid="{CECE0590-1E12-46A9-A929-5E9BF2DE662B}"/>
    <cellStyle name="Comma 4 5 2 2 4" xfId="9275" xr:uid="{1C73432A-1C0A-43A3-A96E-A45369694657}"/>
    <cellStyle name="Comma 4 5 2 3" xfId="1148" xr:uid="{00000000-0005-0000-0000-00002C0A0000}"/>
    <cellStyle name="Comma 4 5 2 3 2" xfId="3379" xr:uid="{00000000-0005-0000-0000-00002D0A0000}"/>
    <cellStyle name="Comma 4 5 2 3 2 2" xfId="7601" xr:uid="{00000000-0005-0000-0000-00002E0A0000}"/>
    <cellStyle name="Comma 4 5 2 3 2 2 2" xfId="16051" xr:uid="{D4C876A0-03F9-4330-8E1E-DB1561985476}"/>
    <cellStyle name="Comma 4 5 2 3 2 3" xfId="11833" xr:uid="{AE561FDF-E645-4F0C-B542-83F83D65A487}"/>
    <cellStyle name="Comma 4 5 2 3 3" xfId="5456" xr:uid="{00000000-0005-0000-0000-00002F0A0000}"/>
    <cellStyle name="Comma 4 5 2 3 3 2" xfId="13906" xr:uid="{DFA6BA6D-C949-4AF9-B7F2-2636706ACA81}"/>
    <cellStyle name="Comma 4 5 2 3 4" xfId="9688" xr:uid="{35DB3CD4-9444-43F1-8A5E-ADA345C4E15C}"/>
    <cellStyle name="Comma 4 5 2 4" xfId="1562" xr:uid="{00000000-0005-0000-0000-0000300A0000}"/>
    <cellStyle name="Comma 4 5 2 4 2" xfId="3792" xr:uid="{00000000-0005-0000-0000-0000310A0000}"/>
    <cellStyle name="Comma 4 5 2 4 2 2" xfId="8014" xr:uid="{00000000-0005-0000-0000-0000320A0000}"/>
    <cellStyle name="Comma 4 5 2 4 2 2 2" xfId="16464" xr:uid="{A6893A43-7C78-4474-98AE-85653F594FCE}"/>
    <cellStyle name="Comma 4 5 2 4 2 3" xfId="12246" xr:uid="{E26484BF-A44F-4323-A1C4-EB8B3B7D8A07}"/>
    <cellStyle name="Comma 4 5 2 4 3" xfId="5869" xr:uid="{00000000-0005-0000-0000-0000330A0000}"/>
    <cellStyle name="Comma 4 5 2 4 3 2" xfId="14319" xr:uid="{B2472E07-7237-43A9-82ED-B82B94B6748C}"/>
    <cellStyle name="Comma 4 5 2 4 4" xfId="10101" xr:uid="{1292634E-4198-452C-A4BB-406FFBC8A885}"/>
    <cellStyle name="Comma 4 5 2 5" xfId="1976" xr:uid="{00000000-0005-0000-0000-0000340A0000}"/>
    <cellStyle name="Comma 4 5 2 5 2" xfId="4205" xr:uid="{00000000-0005-0000-0000-0000350A0000}"/>
    <cellStyle name="Comma 4 5 2 5 2 2" xfId="8427" xr:uid="{00000000-0005-0000-0000-0000360A0000}"/>
    <cellStyle name="Comma 4 5 2 5 2 2 2" xfId="16877" xr:uid="{A4B563B4-212B-4A39-9DB4-89D1D42D8847}"/>
    <cellStyle name="Comma 4 5 2 5 2 3" xfId="12659" xr:uid="{46548E07-055E-481A-B887-8BFD8FEF54F0}"/>
    <cellStyle name="Comma 4 5 2 5 3" xfId="6282" xr:uid="{00000000-0005-0000-0000-0000370A0000}"/>
    <cellStyle name="Comma 4 5 2 5 3 2" xfId="14732" xr:uid="{24AF4268-3C1E-452C-8A8C-70F5ECDD0681}"/>
    <cellStyle name="Comma 4 5 2 5 4" xfId="10514" xr:uid="{A5F2F78F-A1C4-4375-9DEB-34BEB9E05CA0}"/>
    <cellStyle name="Comma 4 5 2 6" xfId="2411" xr:uid="{00000000-0005-0000-0000-0000380A0000}"/>
    <cellStyle name="Comma 4 5 2 6 2" xfId="6695" xr:uid="{00000000-0005-0000-0000-0000390A0000}"/>
    <cellStyle name="Comma 4 5 2 6 2 2" xfId="15145" xr:uid="{CC6679AB-A948-42D2-961D-A00EA3F10FDB}"/>
    <cellStyle name="Comma 4 5 2 6 3" xfId="10927" xr:uid="{84D3CD38-F5DD-4DF3-A515-012DAEF0C7B4}"/>
    <cellStyle name="Comma 4 5 2 7" xfId="2707" xr:uid="{00000000-0005-0000-0000-00003A0A0000}"/>
    <cellStyle name="Comma 4 5 2 8" xfId="2789" xr:uid="{00000000-0005-0000-0000-00003B0A0000}"/>
    <cellStyle name="Comma 4 5 2 8 2" xfId="7012" xr:uid="{00000000-0005-0000-0000-00003C0A0000}"/>
    <cellStyle name="Comma 4 5 2 8 2 2" xfId="15462" xr:uid="{29CF5617-89F2-408E-A230-0352B7D6A3F0}"/>
    <cellStyle name="Comma 4 5 2 8 3" xfId="11244" xr:uid="{2FDD3AFD-EDD5-489A-9E4E-822F89F92DF1}"/>
    <cellStyle name="Comma 4 5 2 9" xfId="4629" xr:uid="{00000000-0005-0000-0000-00003D0A0000}"/>
    <cellStyle name="Comma 4 5 2 9 2" xfId="13079" xr:uid="{B5ABBCAD-4ACB-4B33-A19E-C2AB65DDFF76}"/>
    <cellStyle name="Comma 4 5 3" xfId="694" xr:uid="{00000000-0005-0000-0000-00003E0A0000}"/>
    <cellStyle name="Comma 4 5 3 2" xfId="2965" xr:uid="{00000000-0005-0000-0000-00003F0A0000}"/>
    <cellStyle name="Comma 4 5 3 2 2" xfId="7187" xr:uid="{00000000-0005-0000-0000-0000400A0000}"/>
    <cellStyle name="Comma 4 5 3 2 2 2" xfId="15637" xr:uid="{999FECDB-9B2C-43CB-BC72-7A952CD235F2}"/>
    <cellStyle name="Comma 4 5 3 2 3" xfId="11419" xr:uid="{205976FD-6D68-437D-88E7-88D5CDB35DF4}"/>
    <cellStyle name="Comma 4 5 3 3" xfId="5042" xr:uid="{00000000-0005-0000-0000-0000410A0000}"/>
    <cellStyle name="Comma 4 5 3 3 2" xfId="13492" xr:uid="{0FC6EF6A-E994-4645-9B06-C07AB8352EF7}"/>
    <cellStyle name="Comma 4 5 3 4" xfId="9274" xr:uid="{85AF0778-6C39-4188-8820-A4EE4C1062FD}"/>
    <cellStyle name="Comma 4 5 4" xfId="1147" xr:uid="{00000000-0005-0000-0000-0000420A0000}"/>
    <cellStyle name="Comma 4 5 4 2" xfId="3378" xr:uid="{00000000-0005-0000-0000-0000430A0000}"/>
    <cellStyle name="Comma 4 5 4 2 2" xfId="7600" xr:uid="{00000000-0005-0000-0000-0000440A0000}"/>
    <cellStyle name="Comma 4 5 4 2 2 2" xfId="16050" xr:uid="{4BE30DFD-1C7B-437A-9634-1FD0638DBB82}"/>
    <cellStyle name="Comma 4 5 4 2 3" xfId="11832" xr:uid="{9A31D474-51A2-4AFC-BF8E-168444E2846F}"/>
    <cellStyle name="Comma 4 5 4 3" xfId="5455" xr:uid="{00000000-0005-0000-0000-0000450A0000}"/>
    <cellStyle name="Comma 4 5 4 3 2" xfId="13905" xr:uid="{84AB3C3B-EB07-4B2A-8689-524B7CBAB7F1}"/>
    <cellStyle name="Comma 4 5 4 4" xfId="9687" xr:uid="{9D1753BA-9DEA-4F3F-A1D1-D144B2FB3D14}"/>
    <cellStyle name="Comma 4 5 5" xfId="1561" xr:uid="{00000000-0005-0000-0000-0000460A0000}"/>
    <cellStyle name="Comma 4 5 5 2" xfId="3791" xr:uid="{00000000-0005-0000-0000-0000470A0000}"/>
    <cellStyle name="Comma 4 5 5 2 2" xfId="8013" xr:uid="{00000000-0005-0000-0000-0000480A0000}"/>
    <cellStyle name="Comma 4 5 5 2 2 2" xfId="16463" xr:uid="{108CA932-B0E7-49A1-A394-6364CDB3C86E}"/>
    <cellStyle name="Comma 4 5 5 2 3" xfId="12245" xr:uid="{335E631F-141D-437C-8318-F7BAF172F4F8}"/>
    <cellStyle name="Comma 4 5 5 3" xfId="5868" xr:uid="{00000000-0005-0000-0000-0000490A0000}"/>
    <cellStyle name="Comma 4 5 5 3 2" xfId="14318" xr:uid="{EE83AC24-1845-4D2D-A2BB-7903BF3B2E37}"/>
    <cellStyle name="Comma 4 5 5 4" xfId="10100" xr:uid="{51D45701-990B-4768-B216-8804BA799C94}"/>
    <cellStyle name="Comma 4 5 6" xfId="1975" xr:uid="{00000000-0005-0000-0000-00004A0A0000}"/>
    <cellStyle name="Comma 4 5 6 2" xfId="4204" xr:uid="{00000000-0005-0000-0000-00004B0A0000}"/>
    <cellStyle name="Comma 4 5 6 2 2" xfId="8426" xr:uid="{00000000-0005-0000-0000-00004C0A0000}"/>
    <cellStyle name="Comma 4 5 6 2 2 2" xfId="16876" xr:uid="{E5CA5A36-F876-4215-AF5A-DC35A8F5CE0F}"/>
    <cellStyle name="Comma 4 5 6 2 3" xfId="12658" xr:uid="{4CD6A923-DDFC-4564-859E-8B633833EAB4}"/>
    <cellStyle name="Comma 4 5 6 3" xfId="6281" xr:uid="{00000000-0005-0000-0000-00004D0A0000}"/>
    <cellStyle name="Comma 4 5 6 3 2" xfId="14731" xr:uid="{1723F7F0-BD34-46CA-AF05-602F24E7DD3D}"/>
    <cellStyle name="Comma 4 5 6 4" xfId="10513" xr:uid="{201E123F-7E09-41E3-AAE2-FAB504354DE2}"/>
    <cellStyle name="Comma 4 5 7" xfId="2410" xr:uid="{00000000-0005-0000-0000-00004E0A0000}"/>
    <cellStyle name="Comma 4 5 7 2" xfId="6694" xr:uid="{00000000-0005-0000-0000-00004F0A0000}"/>
    <cellStyle name="Comma 4 5 7 2 2" xfId="15144" xr:uid="{F1AD8EE0-298D-4FF4-A3A2-92C26FA04F38}"/>
    <cellStyle name="Comma 4 5 7 3" xfId="10926" xr:uid="{53517694-4E2B-46EF-A963-4EE5273B5511}"/>
    <cellStyle name="Comma 4 5 8" xfId="2706" xr:uid="{00000000-0005-0000-0000-0000500A0000}"/>
    <cellStyle name="Comma 4 5 9" xfId="2788" xr:uid="{00000000-0005-0000-0000-0000510A0000}"/>
    <cellStyle name="Comma 4 5 9 2" xfId="7011" xr:uid="{00000000-0005-0000-0000-0000520A0000}"/>
    <cellStyle name="Comma 4 5 9 2 2" xfId="15461" xr:uid="{92CC64DA-4C9F-4F8F-8411-875F16103427}"/>
    <cellStyle name="Comma 4 5 9 3" xfId="11243" xr:uid="{DE110A9D-7713-4C27-89DA-E8B5EF7EA53D}"/>
    <cellStyle name="Comma 4 6" xfId="159" xr:uid="{00000000-0005-0000-0000-0000530A0000}"/>
    <cellStyle name="Comma 4 6 10" xfId="8862" xr:uid="{648CEBE9-8213-4AD2-B50D-731B22D2F798}"/>
    <cellStyle name="Comma 4 6 2" xfId="696" xr:uid="{00000000-0005-0000-0000-0000540A0000}"/>
    <cellStyle name="Comma 4 6 2 2" xfId="2967" xr:uid="{00000000-0005-0000-0000-0000550A0000}"/>
    <cellStyle name="Comma 4 6 2 2 2" xfId="7189" xr:uid="{00000000-0005-0000-0000-0000560A0000}"/>
    <cellStyle name="Comma 4 6 2 2 2 2" xfId="15639" xr:uid="{2A6CA226-4CA1-4B27-9715-C3BC091A0B78}"/>
    <cellStyle name="Comma 4 6 2 2 3" xfId="11421" xr:uid="{094BD694-DD55-4929-84AF-0083B5E9F706}"/>
    <cellStyle name="Comma 4 6 2 3" xfId="5044" xr:uid="{00000000-0005-0000-0000-0000570A0000}"/>
    <cellStyle name="Comma 4 6 2 3 2" xfId="13494" xr:uid="{4494AF67-D9E0-429F-91D0-4652B384E696}"/>
    <cellStyle name="Comma 4 6 2 4" xfId="9276" xr:uid="{11DED3D9-3BFA-4613-BA25-3664A99BBDC4}"/>
    <cellStyle name="Comma 4 6 3" xfId="1149" xr:uid="{00000000-0005-0000-0000-0000580A0000}"/>
    <cellStyle name="Comma 4 6 3 2" xfId="3380" xr:uid="{00000000-0005-0000-0000-0000590A0000}"/>
    <cellStyle name="Comma 4 6 3 2 2" xfId="7602" xr:uid="{00000000-0005-0000-0000-00005A0A0000}"/>
    <cellStyle name="Comma 4 6 3 2 2 2" xfId="16052" xr:uid="{90F11D3F-9E42-4784-954E-7735E07A69A6}"/>
    <cellStyle name="Comma 4 6 3 2 3" xfId="11834" xr:uid="{F964C6E0-55FE-41F8-B490-22AAF361FC78}"/>
    <cellStyle name="Comma 4 6 3 3" xfId="5457" xr:uid="{00000000-0005-0000-0000-00005B0A0000}"/>
    <cellStyle name="Comma 4 6 3 3 2" xfId="13907" xr:uid="{A20331F7-D33F-4090-A0D4-FEBD3B5773A3}"/>
    <cellStyle name="Comma 4 6 3 4" xfId="9689" xr:uid="{154DD5A9-9C77-4CCE-AC12-D9BE86619541}"/>
    <cellStyle name="Comma 4 6 4" xfId="1563" xr:uid="{00000000-0005-0000-0000-00005C0A0000}"/>
    <cellStyle name="Comma 4 6 4 2" xfId="3793" xr:uid="{00000000-0005-0000-0000-00005D0A0000}"/>
    <cellStyle name="Comma 4 6 4 2 2" xfId="8015" xr:uid="{00000000-0005-0000-0000-00005E0A0000}"/>
    <cellStyle name="Comma 4 6 4 2 2 2" xfId="16465" xr:uid="{DC5C251E-6158-4A1B-8D6C-246C3DCAF819}"/>
    <cellStyle name="Comma 4 6 4 2 3" xfId="12247" xr:uid="{C93CA782-32E9-4BFF-8A4E-3A0864D6AF08}"/>
    <cellStyle name="Comma 4 6 4 3" xfId="5870" xr:uid="{00000000-0005-0000-0000-00005F0A0000}"/>
    <cellStyle name="Comma 4 6 4 3 2" xfId="14320" xr:uid="{44098832-3AF0-4D00-B346-9F8E7EFCA2EF}"/>
    <cellStyle name="Comma 4 6 4 4" xfId="10102" xr:uid="{61692234-B0CE-48DC-B982-B438D25DCD90}"/>
    <cellStyle name="Comma 4 6 5" xfId="1977" xr:uid="{00000000-0005-0000-0000-0000600A0000}"/>
    <cellStyle name="Comma 4 6 5 2" xfId="4206" xr:uid="{00000000-0005-0000-0000-0000610A0000}"/>
    <cellStyle name="Comma 4 6 5 2 2" xfId="8428" xr:uid="{00000000-0005-0000-0000-0000620A0000}"/>
    <cellStyle name="Comma 4 6 5 2 2 2" xfId="16878" xr:uid="{566A69F8-6237-4A8D-8D6F-57DFED81743C}"/>
    <cellStyle name="Comma 4 6 5 2 3" xfId="12660" xr:uid="{CE4FBEDC-21BD-42C3-98F5-A48E45E942EF}"/>
    <cellStyle name="Comma 4 6 5 3" xfId="6283" xr:uid="{00000000-0005-0000-0000-0000630A0000}"/>
    <cellStyle name="Comma 4 6 5 3 2" xfId="14733" xr:uid="{696BE417-CF6B-4CF3-BCEC-2ACCBC99318B}"/>
    <cellStyle name="Comma 4 6 5 4" xfId="10515" xr:uid="{39ABD5D2-43C8-4DD7-855D-255201B8AE42}"/>
    <cellStyle name="Comma 4 6 6" xfId="2412" xr:uid="{00000000-0005-0000-0000-0000640A0000}"/>
    <cellStyle name="Comma 4 6 6 2" xfId="6696" xr:uid="{00000000-0005-0000-0000-0000650A0000}"/>
    <cellStyle name="Comma 4 6 6 2 2" xfId="15146" xr:uid="{7F0E7925-D737-47DB-850B-2B460F6301CF}"/>
    <cellStyle name="Comma 4 6 6 3" xfId="10928" xr:uid="{93286AA3-A503-46E3-89B5-6546016DBC9B}"/>
    <cellStyle name="Comma 4 6 7" xfId="2708" xr:uid="{00000000-0005-0000-0000-0000660A0000}"/>
    <cellStyle name="Comma 4 6 8" xfId="2790" xr:uid="{00000000-0005-0000-0000-0000670A0000}"/>
    <cellStyle name="Comma 4 6 8 2" xfId="7013" xr:uid="{00000000-0005-0000-0000-0000680A0000}"/>
    <cellStyle name="Comma 4 6 8 2 2" xfId="15463" xr:uid="{04AA9412-4822-4BF0-999E-2AB89ED1B81D}"/>
    <cellStyle name="Comma 4 6 8 3" xfId="11245" xr:uid="{C926217E-CBFF-45BA-B5DA-4FC5D7EE067E}"/>
    <cellStyle name="Comma 4 6 9" xfId="4630" xr:uid="{00000000-0005-0000-0000-0000690A0000}"/>
    <cellStyle name="Comma 4 6 9 2" xfId="13080" xr:uid="{BFBDC368-9D35-4723-8DA2-26B2E917257E}"/>
    <cellStyle name="Comma 4 7" xfId="160" xr:uid="{00000000-0005-0000-0000-00006A0A0000}"/>
    <cellStyle name="Comma 4 7 10" xfId="8863" xr:uid="{9BEDB8FD-EA49-4DD3-8FB2-55F588F59627}"/>
    <cellStyle name="Comma 4 7 2" xfId="697" xr:uid="{00000000-0005-0000-0000-00006B0A0000}"/>
    <cellStyle name="Comma 4 7 2 2" xfId="2968" xr:uid="{00000000-0005-0000-0000-00006C0A0000}"/>
    <cellStyle name="Comma 4 7 2 2 2" xfId="7190" xr:uid="{00000000-0005-0000-0000-00006D0A0000}"/>
    <cellStyle name="Comma 4 7 2 2 2 2" xfId="15640" xr:uid="{62D4FC95-ABDC-472D-AE87-47E99D971AE9}"/>
    <cellStyle name="Comma 4 7 2 2 3" xfId="11422" xr:uid="{143F719D-B985-40E4-8727-898774AD82C4}"/>
    <cellStyle name="Comma 4 7 2 3" xfId="5045" xr:uid="{00000000-0005-0000-0000-00006E0A0000}"/>
    <cellStyle name="Comma 4 7 2 3 2" xfId="13495" xr:uid="{1978562C-CAF1-4251-990E-4F294CA00CE9}"/>
    <cellStyle name="Comma 4 7 2 4" xfId="9277" xr:uid="{82A0F61C-4E9D-4B74-98A2-BC0890481C10}"/>
    <cellStyle name="Comma 4 7 3" xfId="1150" xr:uid="{00000000-0005-0000-0000-00006F0A0000}"/>
    <cellStyle name="Comma 4 7 3 2" xfId="3381" xr:uid="{00000000-0005-0000-0000-0000700A0000}"/>
    <cellStyle name="Comma 4 7 3 2 2" xfId="7603" xr:uid="{00000000-0005-0000-0000-0000710A0000}"/>
    <cellStyle name="Comma 4 7 3 2 2 2" xfId="16053" xr:uid="{E9DD6513-B4E7-4E28-88AA-70EC36A2BAD3}"/>
    <cellStyle name="Comma 4 7 3 2 3" xfId="11835" xr:uid="{261D3FFD-F02C-494C-A898-6F55DE3B91BA}"/>
    <cellStyle name="Comma 4 7 3 3" xfId="5458" xr:uid="{00000000-0005-0000-0000-0000720A0000}"/>
    <cellStyle name="Comma 4 7 3 3 2" xfId="13908" xr:uid="{3E2CBE68-381A-420D-A742-0115286F69C2}"/>
    <cellStyle name="Comma 4 7 3 4" xfId="9690" xr:uid="{EDDD42AA-EACC-4C9E-8C0A-A750A4744291}"/>
    <cellStyle name="Comma 4 7 4" xfId="1564" xr:uid="{00000000-0005-0000-0000-0000730A0000}"/>
    <cellStyle name="Comma 4 7 4 2" xfId="3794" xr:uid="{00000000-0005-0000-0000-0000740A0000}"/>
    <cellStyle name="Comma 4 7 4 2 2" xfId="8016" xr:uid="{00000000-0005-0000-0000-0000750A0000}"/>
    <cellStyle name="Comma 4 7 4 2 2 2" xfId="16466" xr:uid="{3F5D6A8A-1D93-40FF-8BFB-B4FC8743AE2A}"/>
    <cellStyle name="Comma 4 7 4 2 3" xfId="12248" xr:uid="{E750C25B-F85A-4096-8F95-02281D5B3A12}"/>
    <cellStyle name="Comma 4 7 4 3" xfId="5871" xr:uid="{00000000-0005-0000-0000-0000760A0000}"/>
    <cellStyle name="Comma 4 7 4 3 2" xfId="14321" xr:uid="{95FBD4A7-986C-4610-A3DA-D0687277D13C}"/>
    <cellStyle name="Comma 4 7 4 4" xfId="10103" xr:uid="{073C3CC3-C574-42CD-8B4C-3BAF3BD8F45E}"/>
    <cellStyle name="Comma 4 7 5" xfId="1978" xr:uid="{00000000-0005-0000-0000-0000770A0000}"/>
    <cellStyle name="Comma 4 7 5 2" xfId="4207" xr:uid="{00000000-0005-0000-0000-0000780A0000}"/>
    <cellStyle name="Comma 4 7 5 2 2" xfId="8429" xr:uid="{00000000-0005-0000-0000-0000790A0000}"/>
    <cellStyle name="Comma 4 7 5 2 2 2" xfId="16879" xr:uid="{B31E1FE2-1691-49DB-9D9A-AA46A770A6FD}"/>
    <cellStyle name="Comma 4 7 5 2 3" xfId="12661" xr:uid="{E3236507-EA2B-49EE-85AF-72B72ABDFA41}"/>
    <cellStyle name="Comma 4 7 5 3" xfId="6284" xr:uid="{00000000-0005-0000-0000-00007A0A0000}"/>
    <cellStyle name="Comma 4 7 5 3 2" xfId="14734" xr:uid="{687BA7A0-5CD0-41B6-B53C-2D09D21AB8AF}"/>
    <cellStyle name="Comma 4 7 5 4" xfId="10516" xr:uid="{51A3D608-4BFA-4908-9F71-C81FB4065CB7}"/>
    <cellStyle name="Comma 4 7 6" xfId="2413" xr:uid="{00000000-0005-0000-0000-00007B0A0000}"/>
    <cellStyle name="Comma 4 7 6 2" xfId="6697" xr:uid="{00000000-0005-0000-0000-00007C0A0000}"/>
    <cellStyle name="Comma 4 7 6 2 2" xfId="15147" xr:uid="{A9CE583E-53B1-44D3-8233-58F7A9AA53B5}"/>
    <cellStyle name="Comma 4 7 6 3" xfId="10929" xr:uid="{1D9841F6-725B-4921-B857-881BC69F3082}"/>
    <cellStyle name="Comma 4 7 7" xfId="2709" xr:uid="{00000000-0005-0000-0000-00007D0A0000}"/>
    <cellStyle name="Comma 4 7 8" xfId="2791" xr:uid="{00000000-0005-0000-0000-00007E0A0000}"/>
    <cellStyle name="Comma 4 7 8 2" xfId="7014" xr:uid="{00000000-0005-0000-0000-00007F0A0000}"/>
    <cellStyle name="Comma 4 7 8 2 2" xfId="15464" xr:uid="{DF9D76B2-0190-4E69-8E3F-B822D351EB1D}"/>
    <cellStyle name="Comma 4 7 8 3" xfId="11246" xr:uid="{C983176E-65D9-40FE-9ABE-385701813313}"/>
    <cellStyle name="Comma 4 7 9" xfId="4631" xr:uid="{00000000-0005-0000-0000-0000800A0000}"/>
    <cellStyle name="Comma 4 7 9 2" xfId="13081" xr:uid="{B5AF548A-C539-4258-919E-9EAED05270B5}"/>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omma 7 2" xfId="12949" xr:uid="{E0255790-0FD3-4773-B946-36A271DFCB8A}"/>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2 2" xfId="17166" xr:uid="{35C8A9F0-3C5F-477A-9815-88AF467000DF}"/>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14 3 2 2 2 2 2" xfId="17182" xr:uid="{306B38AA-EB0F-4CB3-93EE-6F3094407F57}"/>
    <cellStyle name="Currency 14 3 2 2 2 3" xfId="17179" xr:uid="{D942F734-4FB5-49EF-BABE-49E5AC54592B}"/>
    <cellStyle name="Currency 14 3 2 2 3" xfId="17175" xr:uid="{443C254F-261A-4818-8AF3-BC5C42BBC82B}"/>
    <cellStyle name="Currency 14 3 2 3" xfId="17172" xr:uid="{717D8180-B7CE-4ABB-9F06-E75110A5DE5C}"/>
    <cellStyle name="Currency 14 3 3" xfId="17169" xr:uid="{B0041811-4E6E-4133-BD99-B682CBEB7B79}"/>
    <cellStyle name="Currency 14 4" xfId="12952" xr:uid="{BD54C542-46AC-4D73-AFAE-5325DCA6E2FC}"/>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0 2 2" xfId="15465" xr:uid="{947B3C91-86B1-41E2-A4BB-2DF2FF63730D}"/>
    <cellStyle name="Currency 3 2 2 10 3" xfId="11247" xr:uid="{F90926FC-C3B8-4C60-B9EF-84E749D6F3DA}"/>
    <cellStyle name="Currency 3 2 2 11" xfId="4632" xr:uid="{00000000-0005-0000-0000-0000A50A0000}"/>
    <cellStyle name="Currency 3 2 2 11 2" xfId="13082" xr:uid="{789F594A-1F65-49B9-AB8F-B47F3DFC50FC}"/>
    <cellStyle name="Currency 3 2 2 12" xfId="8864" xr:uid="{C9C63832-E7F2-4656-B6C9-A7DD5878B44E}"/>
    <cellStyle name="Currency 3 2 2 2" xfId="179" xr:uid="{00000000-0005-0000-0000-0000A60A0000}"/>
    <cellStyle name="Currency 3 2 2 2 10" xfId="4633" xr:uid="{00000000-0005-0000-0000-0000A70A0000}"/>
    <cellStyle name="Currency 3 2 2 2 10 2" xfId="13083" xr:uid="{EAB165E8-B148-4F0A-B7D6-38E291CC10EB}"/>
    <cellStyle name="Currency 3 2 2 2 11" xfId="8865" xr:uid="{9236E906-901B-4755-A524-B6DC594698DC}"/>
    <cellStyle name="Currency 3 2 2 2 2" xfId="180" xr:uid="{00000000-0005-0000-0000-0000A80A0000}"/>
    <cellStyle name="Currency 3 2 2 2 2 10" xfId="8866" xr:uid="{34FFFB18-BA7B-43B2-A6C7-C9B2A8541379}"/>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2 2 2" xfId="15643" xr:uid="{1C5EE947-0B31-4BA4-9AF4-4F2A606C2270}"/>
    <cellStyle name="Currency 3 2 2 2 2 2 2 3" xfId="11425" xr:uid="{17DA6C50-CE7D-4DD3-B5DC-545B561BE453}"/>
    <cellStyle name="Currency 3 2 2 2 2 2 3" xfId="5048" xr:uid="{00000000-0005-0000-0000-0000AC0A0000}"/>
    <cellStyle name="Currency 3 2 2 2 2 2 3 2" xfId="13498" xr:uid="{87C09F84-30D6-44FC-8A30-0F22EFBAB471}"/>
    <cellStyle name="Currency 3 2 2 2 2 2 4" xfId="9280" xr:uid="{7501A9F9-5E13-47BA-9971-93EDE5D83046}"/>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2 2 2" xfId="16056" xr:uid="{6D45E628-3FE0-4958-AE54-FE61C9C3F789}"/>
    <cellStyle name="Currency 3 2 2 2 2 3 2 3" xfId="11838" xr:uid="{FA0A13C0-99ED-4E1D-B41E-78132C1C57DF}"/>
    <cellStyle name="Currency 3 2 2 2 2 3 3" xfId="5461" xr:uid="{00000000-0005-0000-0000-0000B00A0000}"/>
    <cellStyle name="Currency 3 2 2 2 2 3 3 2" xfId="13911" xr:uid="{8A3FE3CD-0B57-4A5B-AC06-FD59255FF120}"/>
    <cellStyle name="Currency 3 2 2 2 2 3 4" xfId="9693" xr:uid="{BB45E948-AE6E-4D7A-A6BB-17B33665195D}"/>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2 2 2" xfId="16469" xr:uid="{40513183-868B-4043-9810-B21998F4C9D3}"/>
    <cellStyle name="Currency 3 2 2 2 2 4 2 3" xfId="12251" xr:uid="{B8CD016B-F90C-41EA-94BB-1883365A39FA}"/>
    <cellStyle name="Currency 3 2 2 2 2 4 3" xfId="5874" xr:uid="{00000000-0005-0000-0000-0000B40A0000}"/>
    <cellStyle name="Currency 3 2 2 2 2 4 3 2" xfId="14324" xr:uid="{88A68494-76BA-4565-967A-A49CFE6F5888}"/>
    <cellStyle name="Currency 3 2 2 2 2 4 4" xfId="10106" xr:uid="{34A79F76-70DE-45AA-A545-230D18790743}"/>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2 2 2" xfId="16882" xr:uid="{C4643C61-673E-4C5A-9703-4EC385335E49}"/>
    <cellStyle name="Currency 3 2 2 2 2 5 2 3" xfId="12664" xr:uid="{55564A97-58F0-4031-A6F7-5FC784571370}"/>
    <cellStyle name="Currency 3 2 2 2 2 5 3" xfId="6287" xr:uid="{00000000-0005-0000-0000-0000B80A0000}"/>
    <cellStyle name="Currency 3 2 2 2 2 5 3 2" xfId="14737" xr:uid="{0DC5AD8E-3C2D-49A0-AB95-3626BFB20465}"/>
    <cellStyle name="Currency 3 2 2 2 2 5 4" xfId="10519" xr:uid="{F335C0BF-2F11-4928-8E1B-82E9910CEB11}"/>
    <cellStyle name="Currency 3 2 2 2 2 6" xfId="2416" xr:uid="{00000000-0005-0000-0000-0000B90A0000}"/>
    <cellStyle name="Currency 3 2 2 2 2 6 2" xfId="6700" xr:uid="{00000000-0005-0000-0000-0000BA0A0000}"/>
    <cellStyle name="Currency 3 2 2 2 2 6 2 2" xfId="15150" xr:uid="{EC4CC61E-1520-4DF6-A1F1-D4E798D4A5CB}"/>
    <cellStyle name="Currency 3 2 2 2 2 6 3" xfId="10932" xr:uid="{CE598942-0BB3-4C26-B839-BFFFA5FA3049}"/>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8 2 2" xfId="15467" xr:uid="{2F356F3B-3FB8-45DE-B72F-60645B9CE201}"/>
    <cellStyle name="Currency 3 2 2 2 2 8 3" xfId="11249" xr:uid="{053B71EA-457C-44BA-AC4E-316EEF623D4C}"/>
    <cellStyle name="Currency 3 2 2 2 2 9" xfId="4634" xr:uid="{00000000-0005-0000-0000-0000BE0A0000}"/>
    <cellStyle name="Currency 3 2 2 2 2 9 2" xfId="13084" xr:uid="{1A3EBF07-CBDB-4F88-8CFB-9E729256A1CB}"/>
    <cellStyle name="Currency 3 2 2 2 3" xfId="709" xr:uid="{00000000-0005-0000-0000-0000BF0A0000}"/>
    <cellStyle name="Currency 3 2 2 2 3 2" xfId="2970" xr:uid="{00000000-0005-0000-0000-0000C00A0000}"/>
    <cellStyle name="Currency 3 2 2 2 3 2 2" xfId="7192" xr:uid="{00000000-0005-0000-0000-0000C10A0000}"/>
    <cellStyle name="Currency 3 2 2 2 3 2 2 2" xfId="15642" xr:uid="{586924CB-3112-4EDF-92C0-66858EE0CCB8}"/>
    <cellStyle name="Currency 3 2 2 2 3 2 3" xfId="11424" xr:uid="{3A27DC8C-1A5D-4757-AEFB-C34A9AD7899E}"/>
    <cellStyle name="Currency 3 2 2 2 3 3" xfId="5047" xr:uid="{00000000-0005-0000-0000-0000C20A0000}"/>
    <cellStyle name="Currency 3 2 2 2 3 3 2" xfId="13497" xr:uid="{2E5A5608-87C5-4C00-B1E7-88F22AEE1136}"/>
    <cellStyle name="Currency 3 2 2 2 3 4" xfId="9279" xr:uid="{CCD017EA-2195-46FC-8141-DEA87F716746}"/>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2 2 2" xfId="16055" xr:uid="{6F743DAC-D5A0-4B15-AF60-DA3FD1EB7344}"/>
    <cellStyle name="Currency 3 2 2 2 4 2 3" xfId="11837" xr:uid="{8BEE30BB-E83C-4FB1-8004-89591C402FC5}"/>
    <cellStyle name="Currency 3 2 2 2 4 3" xfId="5460" xr:uid="{00000000-0005-0000-0000-0000C60A0000}"/>
    <cellStyle name="Currency 3 2 2 2 4 3 2" xfId="13910" xr:uid="{1279BFBC-81EC-4EC6-AA9B-8D760860C9CF}"/>
    <cellStyle name="Currency 3 2 2 2 4 4" xfId="9692" xr:uid="{BF07123F-41A0-4740-9CC2-C7B252BA0A49}"/>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2 2 2" xfId="16468" xr:uid="{044AC354-F8CC-4953-9090-D86C391ACF41}"/>
    <cellStyle name="Currency 3 2 2 2 5 2 3" xfId="12250" xr:uid="{2E49C120-B222-409A-9E53-5840AE9BECAF}"/>
    <cellStyle name="Currency 3 2 2 2 5 3" xfId="5873" xr:uid="{00000000-0005-0000-0000-0000CA0A0000}"/>
    <cellStyle name="Currency 3 2 2 2 5 3 2" xfId="14323" xr:uid="{B7E2F007-9331-45CE-93AF-EF0E42838231}"/>
    <cellStyle name="Currency 3 2 2 2 5 4" xfId="10105" xr:uid="{95AA3CFF-C0BE-4ADE-AFDF-C375ECB90D48}"/>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2 2 2" xfId="16881" xr:uid="{5097F4B9-0325-43D5-99FE-E31FACA256DD}"/>
    <cellStyle name="Currency 3 2 2 2 6 2 3" xfId="12663" xr:uid="{E3BBD076-9863-4044-9966-1DA9B91160CB}"/>
    <cellStyle name="Currency 3 2 2 2 6 3" xfId="6286" xr:uid="{00000000-0005-0000-0000-0000CE0A0000}"/>
    <cellStyle name="Currency 3 2 2 2 6 3 2" xfId="14736" xr:uid="{7179A67E-BE9C-4A5C-B507-1171BD6956A7}"/>
    <cellStyle name="Currency 3 2 2 2 6 4" xfId="10518" xr:uid="{7B52991E-AF55-44FD-BE3F-BF2938AD2201}"/>
    <cellStyle name="Currency 3 2 2 2 7" xfId="2415" xr:uid="{00000000-0005-0000-0000-0000CF0A0000}"/>
    <cellStyle name="Currency 3 2 2 2 7 2" xfId="6699" xr:uid="{00000000-0005-0000-0000-0000D00A0000}"/>
    <cellStyle name="Currency 3 2 2 2 7 2 2" xfId="15149" xr:uid="{23FD96AF-7F34-4DEA-9BF8-287D2BB5C4E0}"/>
    <cellStyle name="Currency 3 2 2 2 7 3" xfId="10931" xr:uid="{C6F1E9A2-7327-44D3-A573-08F77842A096}"/>
    <cellStyle name="Currency 3 2 2 2 8" xfId="2712" xr:uid="{00000000-0005-0000-0000-0000D10A0000}"/>
    <cellStyle name="Currency 3 2 2 2 9" xfId="2793" xr:uid="{00000000-0005-0000-0000-0000D20A0000}"/>
    <cellStyle name="Currency 3 2 2 2 9 2" xfId="7016" xr:uid="{00000000-0005-0000-0000-0000D30A0000}"/>
    <cellStyle name="Currency 3 2 2 2 9 2 2" xfId="15466" xr:uid="{D5598F79-4C6C-4B42-A7FA-08048EA22032}"/>
    <cellStyle name="Currency 3 2 2 2 9 3" xfId="11248" xr:uid="{D45CCD89-C75F-4C62-8596-DE251ADCD8D2}"/>
    <cellStyle name="Currency 3 2 2 3" xfId="181" xr:uid="{00000000-0005-0000-0000-0000D40A0000}"/>
    <cellStyle name="Currency 3 2 2 3 10" xfId="8867" xr:uid="{F0C86F3C-7962-4A82-A584-1F593D4E9707}"/>
    <cellStyle name="Currency 3 2 2 3 2" xfId="711" xr:uid="{00000000-0005-0000-0000-0000D50A0000}"/>
    <cellStyle name="Currency 3 2 2 3 2 2" xfId="2972" xr:uid="{00000000-0005-0000-0000-0000D60A0000}"/>
    <cellStyle name="Currency 3 2 2 3 2 2 2" xfId="7194" xr:uid="{00000000-0005-0000-0000-0000D70A0000}"/>
    <cellStyle name="Currency 3 2 2 3 2 2 2 2" xfId="15644" xr:uid="{C1EF9948-7021-4D25-A710-EBD1BF2C494C}"/>
    <cellStyle name="Currency 3 2 2 3 2 2 3" xfId="11426" xr:uid="{4C655E87-6B57-480A-9675-6A3DB9368842}"/>
    <cellStyle name="Currency 3 2 2 3 2 3" xfId="5049" xr:uid="{00000000-0005-0000-0000-0000D80A0000}"/>
    <cellStyle name="Currency 3 2 2 3 2 3 2" xfId="13499" xr:uid="{D12A08E3-8CDC-42D7-98E3-0631316B1F94}"/>
    <cellStyle name="Currency 3 2 2 3 2 4" xfId="9281" xr:uid="{3B637952-DD6A-418C-BA16-BA6351527FE3}"/>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2 2 2" xfId="16057" xr:uid="{882BB258-76C0-4303-A0D8-A01C630D545D}"/>
    <cellStyle name="Currency 3 2 2 3 3 2 3" xfId="11839" xr:uid="{E449F574-EB17-4628-B355-9959A44A33FF}"/>
    <cellStyle name="Currency 3 2 2 3 3 3" xfId="5462" xr:uid="{00000000-0005-0000-0000-0000DC0A0000}"/>
    <cellStyle name="Currency 3 2 2 3 3 3 2" xfId="13912" xr:uid="{18417429-88AF-4673-84AE-7465C8ED39C9}"/>
    <cellStyle name="Currency 3 2 2 3 3 4" xfId="9694" xr:uid="{086EA4C6-13ED-4271-BC81-067C6AC6DC27}"/>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2 2 2" xfId="16470" xr:uid="{BA79D291-A5C0-4139-BFF7-F4C94E7E13BE}"/>
    <cellStyle name="Currency 3 2 2 3 4 2 3" xfId="12252" xr:uid="{903C9C9C-6256-4B68-9674-7E64CB309E2D}"/>
    <cellStyle name="Currency 3 2 2 3 4 3" xfId="5875" xr:uid="{00000000-0005-0000-0000-0000E00A0000}"/>
    <cellStyle name="Currency 3 2 2 3 4 3 2" xfId="14325" xr:uid="{11260310-6970-40B9-90EE-9897BFCBC216}"/>
    <cellStyle name="Currency 3 2 2 3 4 4" xfId="10107" xr:uid="{EAEB1A4C-9EB3-413A-BB0C-A36BAE815443}"/>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2 2 2" xfId="16883" xr:uid="{B423DF4F-0BA8-4B05-A54B-B208E631F7F4}"/>
    <cellStyle name="Currency 3 2 2 3 5 2 3" xfId="12665" xr:uid="{0913ACF0-0D4C-4427-A582-B44E69E0D489}"/>
    <cellStyle name="Currency 3 2 2 3 5 3" xfId="6288" xr:uid="{00000000-0005-0000-0000-0000E40A0000}"/>
    <cellStyle name="Currency 3 2 2 3 5 3 2" xfId="14738" xr:uid="{5C1BE580-3405-4AC4-9415-6C7B6DD59001}"/>
    <cellStyle name="Currency 3 2 2 3 5 4" xfId="10520" xr:uid="{EC1107EA-D8C8-42CA-BB8D-E192D43EDDCC}"/>
    <cellStyle name="Currency 3 2 2 3 6" xfId="2417" xr:uid="{00000000-0005-0000-0000-0000E50A0000}"/>
    <cellStyle name="Currency 3 2 2 3 6 2" xfId="6701" xr:uid="{00000000-0005-0000-0000-0000E60A0000}"/>
    <cellStyle name="Currency 3 2 2 3 6 2 2" xfId="15151" xr:uid="{15A5504C-3B4A-4B91-9688-F2873667C6B3}"/>
    <cellStyle name="Currency 3 2 2 3 6 3" xfId="10933" xr:uid="{9D02F49B-DF90-4F2E-91C2-A172C65CB6A1}"/>
    <cellStyle name="Currency 3 2 2 3 7" xfId="2714" xr:uid="{00000000-0005-0000-0000-0000E70A0000}"/>
    <cellStyle name="Currency 3 2 2 3 8" xfId="2795" xr:uid="{00000000-0005-0000-0000-0000E80A0000}"/>
    <cellStyle name="Currency 3 2 2 3 8 2" xfId="7018" xr:uid="{00000000-0005-0000-0000-0000E90A0000}"/>
    <cellStyle name="Currency 3 2 2 3 8 2 2" xfId="15468" xr:uid="{9CF8E3B1-6D72-4F1C-895A-42AD0A6331FF}"/>
    <cellStyle name="Currency 3 2 2 3 8 3" xfId="11250" xr:uid="{101812F2-07E9-44CE-ACCE-674A24B34577}"/>
    <cellStyle name="Currency 3 2 2 3 9" xfId="4635" xr:uid="{00000000-0005-0000-0000-0000EA0A0000}"/>
    <cellStyle name="Currency 3 2 2 3 9 2" xfId="13085" xr:uid="{6CC15285-857C-4490-9040-7B0D4EB8D80A}"/>
    <cellStyle name="Currency 3 2 2 4" xfId="708" xr:uid="{00000000-0005-0000-0000-0000EB0A0000}"/>
    <cellStyle name="Currency 3 2 2 4 2" xfId="2969" xr:uid="{00000000-0005-0000-0000-0000EC0A0000}"/>
    <cellStyle name="Currency 3 2 2 4 2 2" xfId="7191" xr:uid="{00000000-0005-0000-0000-0000ED0A0000}"/>
    <cellStyle name="Currency 3 2 2 4 2 2 2" xfId="15641" xr:uid="{063CDE06-15AC-4734-BB6B-656D143FE989}"/>
    <cellStyle name="Currency 3 2 2 4 2 3" xfId="11423" xr:uid="{D1C40E1D-F728-400E-A53C-E2671C6308B9}"/>
    <cellStyle name="Currency 3 2 2 4 3" xfId="5046" xr:uid="{00000000-0005-0000-0000-0000EE0A0000}"/>
    <cellStyle name="Currency 3 2 2 4 3 2" xfId="13496" xr:uid="{163C5D15-8A9C-446C-BF1F-55239B5B6091}"/>
    <cellStyle name="Currency 3 2 2 4 4" xfId="9278" xr:uid="{81302D1A-5ADD-4099-A56A-B7481BA0E08A}"/>
    <cellStyle name="Currency 3 2 2 5" xfId="1151" xr:uid="{00000000-0005-0000-0000-0000EF0A0000}"/>
    <cellStyle name="Currency 3 2 2 5 2" xfId="3382" xr:uid="{00000000-0005-0000-0000-0000F00A0000}"/>
    <cellStyle name="Currency 3 2 2 5 2 2" xfId="7604" xr:uid="{00000000-0005-0000-0000-0000F10A0000}"/>
    <cellStyle name="Currency 3 2 2 5 2 2 2" xfId="16054" xr:uid="{A75E01B5-3683-4DBA-827D-9E05C95C108A}"/>
    <cellStyle name="Currency 3 2 2 5 2 3" xfId="11836" xr:uid="{33FBBAF5-AFA5-4869-BBC5-ED6611AE5308}"/>
    <cellStyle name="Currency 3 2 2 5 3" xfId="5459" xr:uid="{00000000-0005-0000-0000-0000F20A0000}"/>
    <cellStyle name="Currency 3 2 2 5 3 2" xfId="13909" xr:uid="{77D3452E-2809-45F7-BC0C-F3BCF2CEB40F}"/>
    <cellStyle name="Currency 3 2 2 5 4" xfId="9691" xr:uid="{CB18A71B-AAEC-490F-AB32-94680D0042EC}"/>
    <cellStyle name="Currency 3 2 2 6" xfId="1565" xr:uid="{00000000-0005-0000-0000-0000F30A0000}"/>
    <cellStyle name="Currency 3 2 2 6 2" xfId="3795" xr:uid="{00000000-0005-0000-0000-0000F40A0000}"/>
    <cellStyle name="Currency 3 2 2 6 2 2" xfId="8017" xr:uid="{00000000-0005-0000-0000-0000F50A0000}"/>
    <cellStyle name="Currency 3 2 2 6 2 2 2" xfId="16467" xr:uid="{6DD110FD-20A6-48DF-A642-8DD30D042F2F}"/>
    <cellStyle name="Currency 3 2 2 6 2 3" xfId="12249" xr:uid="{5C6D740E-3C69-4456-8407-C9FC13450212}"/>
    <cellStyle name="Currency 3 2 2 6 3" xfId="5872" xr:uid="{00000000-0005-0000-0000-0000F60A0000}"/>
    <cellStyle name="Currency 3 2 2 6 3 2" xfId="14322" xr:uid="{A826F761-413B-4AAA-A443-2F9A4E41F6BA}"/>
    <cellStyle name="Currency 3 2 2 6 4" xfId="10104" xr:uid="{D1C2DACF-9EE0-42F5-829F-C30AC5D0E9FE}"/>
    <cellStyle name="Currency 3 2 2 7" xfId="1979" xr:uid="{00000000-0005-0000-0000-0000F70A0000}"/>
    <cellStyle name="Currency 3 2 2 7 2" xfId="4208" xr:uid="{00000000-0005-0000-0000-0000F80A0000}"/>
    <cellStyle name="Currency 3 2 2 7 2 2" xfId="8430" xr:uid="{00000000-0005-0000-0000-0000F90A0000}"/>
    <cellStyle name="Currency 3 2 2 7 2 2 2" xfId="16880" xr:uid="{7165F008-C2FE-4224-A9B7-6B3970255DE5}"/>
    <cellStyle name="Currency 3 2 2 7 2 3" xfId="12662" xr:uid="{E1096568-0463-4AAB-92C8-A59D1D9C0ADC}"/>
    <cellStyle name="Currency 3 2 2 7 3" xfId="6285" xr:uid="{00000000-0005-0000-0000-0000FA0A0000}"/>
    <cellStyle name="Currency 3 2 2 7 3 2" xfId="14735" xr:uid="{8B2EEBAE-2C7B-4D20-BAFA-B388E832EA45}"/>
    <cellStyle name="Currency 3 2 2 7 4" xfId="10517" xr:uid="{19131FB3-41D2-4F49-BCF8-EEE2E3D3AF83}"/>
    <cellStyle name="Currency 3 2 2 8" xfId="2414" xr:uid="{00000000-0005-0000-0000-0000FB0A0000}"/>
    <cellStyle name="Currency 3 2 2 8 2" xfId="6698" xr:uid="{00000000-0005-0000-0000-0000FC0A0000}"/>
    <cellStyle name="Currency 3 2 2 8 2 2" xfId="15148" xr:uid="{CF6058E6-B80D-420C-8BC6-D7C2CC1CB2E0}"/>
    <cellStyle name="Currency 3 2 2 8 3" xfId="10930" xr:uid="{D85FC11D-6FAD-4AE4-854E-C8E91A08FB4C}"/>
    <cellStyle name="Currency 3 2 2 9" xfId="2711" xr:uid="{00000000-0005-0000-0000-0000FD0A0000}"/>
    <cellStyle name="Currency 3 2 3" xfId="182" xr:uid="{00000000-0005-0000-0000-0000FE0A0000}"/>
    <cellStyle name="Currency 3 2 3 10" xfId="4636" xr:uid="{00000000-0005-0000-0000-0000FF0A0000}"/>
    <cellStyle name="Currency 3 2 3 10 2" xfId="13086" xr:uid="{4B104CDE-CA40-4F82-B5C7-608A48A708BF}"/>
    <cellStyle name="Currency 3 2 3 11" xfId="8868" xr:uid="{BCB487DF-57C3-4D00-8629-94FABEB9546C}"/>
    <cellStyle name="Currency 3 2 3 2" xfId="183" xr:uid="{00000000-0005-0000-0000-0000000B0000}"/>
    <cellStyle name="Currency 3 2 3 2 10" xfId="8869" xr:uid="{51F000B0-797E-468B-B71E-2FE8B2B1A8A9}"/>
    <cellStyle name="Currency 3 2 3 2 2" xfId="713" xr:uid="{00000000-0005-0000-0000-0000010B0000}"/>
    <cellStyle name="Currency 3 2 3 2 2 2" xfId="2974" xr:uid="{00000000-0005-0000-0000-0000020B0000}"/>
    <cellStyle name="Currency 3 2 3 2 2 2 2" xfId="7196" xr:uid="{00000000-0005-0000-0000-0000030B0000}"/>
    <cellStyle name="Currency 3 2 3 2 2 2 2 2" xfId="15646" xr:uid="{947FB93D-5357-44E9-952D-A903BFEF2B87}"/>
    <cellStyle name="Currency 3 2 3 2 2 2 3" xfId="11428" xr:uid="{95BCCE51-750F-4348-BD97-C45262070FB2}"/>
    <cellStyle name="Currency 3 2 3 2 2 3" xfId="5051" xr:uid="{00000000-0005-0000-0000-0000040B0000}"/>
    <cellStyle name="Currency 3 2 3 2 2 3 2" xfId="13501" xr:uid="{096274E5-5400-4213-84F1-36C71A7E20FC}"/>
    <cellStyle name="Currency 3 2 3 2 2 4" xfId="9283" xr:uid="{C1CB9A85-ED4E-405D-AA69-71F509EEF4AD}"/>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2 2 2" xfId="16059" xr:uid="{DAE32A09-E3CC-453F-9DA4-43B48F671122}"/>
    <cellStyle name="Currency 3 2 3 2 3 2 3" xfId="11841" xr:uid="{1680830A-69D4-4BF9-A212-9327ED54D6CB}"/>
    <cellStyle name="Currency 3 2 3 2 3 3" xfId="5464" xr:uid="{00000000-0005-0000-0000-0000080B0000}"/>
    <cellStyle name="Currency 3 2 3 2 3 3 2" xfId="13914" xr:uid="{8E5ADF03-9882-48C0-85BB-F9F4FD5487D6}"/>
    <cellStyle name="Currency 3 2 3 2 3 4" xfId="9696" xr:uid="{D59A46F3-7C68-4E84-BAD8-935EAF255D1E}"/>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2 2 2" xfId="16472" xr:uid="{512840DE-B0DF-4654-85AE-BD71BBB5B763}"/>
    <cellStyle name="Currency 3 2 3 2 4 2 3" xfId="12254" xr:uid="{46E83084-87B8-4382-A831-5E44AE630743}"/>
    <cellStyle name="Currency 3 2 3 2 4 3" xfId="5877" xr:uid="{00000000-0005-0000-0000-00000C0B0000}"/>
    <cellStyle name="Currency 3 2 3 2 4 3 2" xfId="14327" xr:uid="{7EA14625-AB85-48CF-A461-43D57A8C4EC5}"/>
    <cellStyle name="Currency 3 2 3 2 4 4" xfId="10109" xr:uid="{A98D2227-F814-40ED-9EF9-25866D8621A1}"/>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2 2 2" xfId="16885" xr:uid="{82BEAB57-095E-4040-AC53-02E78726A55D}"/>
    <cellStyle name="Currency 3 2 3 2 5 2 3" xfId="12667" xr:uid="{2CA0E995-567F-4ED2-8F63-E4C5F28C44DB}"/>
    <cellStyle name="Currency 3 2 3 2 5 3" xfId="6290" xr:uid="{00000000-0005-0000-0000-0000100B0000}"/>
    <cellStyle name="Currency 3 2 3 2 5 3 2" xfId="14740" xr:uid="{74FA13DF-CB2E-48D8-9D62-DDD620F434C1}"/>
    <cellStyle name="Currency 3 2 3 2 5 4" xfId="10522" xr:uid="{BC7630D4-D609-4C80-9C12-12535F119CB3}"/>
    <cellStyle name="Currency 3 2 3 2 6" xfId="2419" xr:uid="{00000000-0005-0000-0000-0000110B0000}"/>
    <cellStyle name="Currency 3 2 3 2 6 2" xfId="6703" xr:uid="{00000000-0005-0000-0000-0000120B0000}"/>
    <cellStyle name="Currency 3 2 3 2 6 2 2" xfId="15153" xr:uid="{B44024EC-87D2-4FB1-B27A-8B559847FDCA}"/>
    <cellStyle name="Currency 3 2 3 2 6 3" xfId="10935" xr:uid="{8E22DC06-2F56-488F-8C6E-6501DC8F0C68}"/>
    <cellStyle name="Currency 3 2 3 2 7" xfId="2716" xr:uid="{00000000-0005-0000-0000-0000130B0000}"/>
    <cellStyle name="Currency 3 2 3 2 8" xfId="2797" xr:uid="{00000000-0005-0000-0000-0000140B0000}"/>
    <cellStyle name="Currency 3 2 3 2 8 2" xfId="7020" xr:uid="{00000000-0005-0000-0000-0000150B0000}"/>
    <cellStyle name="Currency 3 2 3 2 8 2 2" xfId="15470" xr:uid="{5F8C5A7A-1766-47FF-BA8E-378B58B092E2}"/>
    <cellStyle name="Currency 3 2 3 2 8 3" xfId="11252" xr:uid="{81ABF9E5-5C4C-4D76-B488-BB3123D664BE}"/>
    <cellStyle name="Currency 3 2 3 2 9" xfId="4637" xr:uid="{00000000-0005-0000-0000-0000160B0000}"/>
    <cellStyle name="Currency 3 2 3 2 9 2" xfId="13087" xr:uid="{782663AE-1977-4797-9201-F74F5BA2096B}"/>
    <cellStyle name="Currency 3 2 3 3" xfId="712" xr:uid="{00000000-0005-0000-0000-0000170B0000}"/>
    <cellStyle name="Currency 3 2 3 3 2" xfId="2973" xr:uid="{00000000-0005-0000-0000-0000180B0000}"/>
    <cellStyle name="Currency 3 2 3 3 2 2" xfId="7195" xr:uid="{00000000-0005-0000-0000-0000190B0000}"/>
    <cellStyle name="Currency 3 2 3 3 2 2 2" xfId="15645" xr:uid="{F8585CB1-AE00-4B5D-8B3B-0462834B8CFF}"/>
    <cellStyle name="Currency 3 2 3 3 2 3" xfId="11427" xr:uid="{810EA557-43FC-41E7-952F-0AACF5C80B7D}"/>
    <cellStyle name="Currency 3 2 3 3 3" xfId="5050" xr:uid="{00000000-0005-0000-0000-00001A0B0000}"/>
    <cellStyle name="Currency 3 2 3 3 3 2" xfId="13500" xr:uid="{7A995CAB-960B-4EA1-AD02-D057006C4ED4}"/>
    <cellStyle name="Currency 3 2 3 3 4" xfId="9282" xr:uid="{15A6BB8D-5BE0-4076-A49A-1EF910937BFD}"/>
    <cellStyle name="Currency 3 2 3 4" xfId="1155" xr:uid="{00000000-0005-0000-0000-00001B0B0000}"/>
    <cellStyle name="Currency 3 2 3 4 2" xfId="3386" xr:uid="{00000000-0005-0000-0000-00001C0B0000}"/>
    <cellStyle name="Currency 3 2 3 4 2 2" xfId="7608" xr:uid="{00000000-0005-0000-0000-00001D0B0000}"/>
    <cellStyle name="Currency 3 2 3 4 2 2 2" xfId="16058" xr:uid="{9A62BACB-E22A-4AF1-BB58-44E94C59DF98}"/>
    <cellStyle name="Currency 3 2 3 4 2 3" xfId="11840" xr:uid="{AC06C425-D1B3-4B17-8507-162FC4BF8483}"/>
    <cellStyle name="Currency 3 2 3 4 3" xfId="5463" xr:uid="{00000000-0005-0000-0000-00001E0B0000}"/>
    <cellStyle name="Currency 3 2 3 4 3 2" xfId="13913" xr:uid="{F4CC5EA6-1CF9-4AA8-A738-4D4EC2978999}"/>
    <cellStyle name="Currency 3 2 3 4 4" xfId="9695" xr:uid="{F010947D-72EC-43FB-8CAF-DD7A66928E5E}"/>
    <cellStyle name="Currency 3 2 3 5" xfId="1569" xr:uid="{00000000-0005-0000-0000-00001F0B0000}"/>
    <cellStyle name="Currency 3 2 3 5 2" xfId="3799" xr:uid="{00000000-0005-0000-0000-0000200B0000}"/>
    <cellStyle name="Currency 3 2 3 5 2 2" xfId="8021" xr:uid="{00000000-0005-0000-0000-0000210B0000}"/>
    <cellStyle name="Currency 3 2 3 5 2 2 2" xfId="16471" xr:uid="{BC4D286E-FC9A-4882-9BD9-98420D715E8E}"/>
    <cellStyle name="Currency 3 2 3 5 2 3" xfId="12253" xr:uid="{CC3AE8D2-E9DC-49DC-BC1B-8ABD6CA4A107}"/>
    <cellStyle name="Currency 3 2 3 5 3" xfId="5876" xr:uid="{00000000-0005-0000-0000-0000220B0000}"/>
    <cellStyle name="Currency 3 2 3 5 3 2" xfId="14326" xr:uid="{A4EFC9E1-A4DD-4F1A-80F9-78F4ABC8F81B}"/>
    <cellStyle name="Currency 3 2 3 5 4" xfId="10108" xr:uid="{57CF2561-771D-4EA6-BF37-B108AA75FDE6}"/>
    <cellStyle name="Currency 3 2 3 6" xfId="1983" xr:uid="{00000000-0005-0000-0000-0000230B0000}"/>
    <cellStyle name="Currency 3 2 3 6 2" xfId="4212" xr:uid="{00000000-0005-0000-0000-0000240B0000}"/>
    <cellStyle name="Currency 3 2 3 6 2 2" xfId="8434" xr:uid="{00000000-0005-0000-0000-0000250B0000}"/>
    <cellStyle name="Currency 3 2 3 6 2 2 2" xfId="16884" xr:uid="{EDAE74FB-3BAC-4AFF-A571-7EF013F3D066}"/>
    <cellStyle name="Currency 3 2 3 6 2 3" xfId="12666" xr:uid="{6E8D9A61-69F1-4F0D-B390-A0E196C82E8F}"/>
    <cellStyle name="Currency 3 2 3 6 3" xfId="6289" xr:uid="{00000000-0005-0000-0000-0000260B0000}"/>
    <cellStyle name="Currency 3 2 3 6 3 2" xfId="14739" xr:uid="{ED14F420-188A-45F6-9C69-335BFCFE3FCD}"/>
    <cellStyle name="Currency 3 2 3 6 4" xfId="10521" xr:uid="{9D59CEF6-DD94-480C-851D-62AA77C1CA79}"/>
    <cellStyle name="Currency 3 2 3 7" xfId="2418" xr:uid="{00000000-0005-0000-0000-0000270B0000}"/>
    <cellStyle name="Currency 3 2 3 7 2" xfId="6702" xr:uid="{00000000-0005-0000-0000-0000280B0000}"/>
    <cellStyle name="Currency 3 2 3 7 2 2" xfId="15152" xr:uid="{24115049-196B-420D-8A9C-7DDA36D3E3D8}"/>
    <cellStyle name="Currency 3 2 3 7 3" xfId="10934" xr:uid="{109B71D2-CC50-4EF1-A164-7408C962DD01}"/>
    <cellStyle name="Currency 3 2 3 8" xfId="2715" xr:uid="{00000000-0005-0000-0000-0000290B0000}"/>
    <cellStyle name="Currency 3 2 3 9" xfId="2796" xr:uid="{00000000-0005-0000-0000-00002A0B0000}"/>
    <cellStyle name="Currency 3 2 3 9 2" xfId="7019" xr:uid="{00000000-0005-0000-0000-00002B0B0000}"/>
    <cellStyle name="Currency 3 2 3 9 2 2" xfId="15469" xr:uid="{9FC646EB-00A8-4DDB-AFF8-C9877968937B}"/>
    <cellStyle name="Currency 3 2 3 9 3" xfId="11251" xr:uid="{B56B6095-C6E8-41CE-B8A2-72D952BBE96C}"/>
    <cellStyle name="Currency 3 2 4" xfId="184" xr:uid="{00000000-0005-0000-0000-00002C0B0000}"/>
    <cellStyle name="Currency 3 2 4 10" xfId="8870" xr:uid="{301C5E75-C579-4D84-9944-763D1F13C0EB}"/>
    <cellStyle name="Currency 3 2 4 2" xfId="714" xr:uid="{00000000-0005-0000-0000-00002D0B0000}"/>
    <cellStyle name="Currency 3 2 4 2 2" xfId="2975" xr:uid="{00000000-0005-0000-0000-00002E0B0000}"/>
    <cellStyle name="Currency 3 2 4 2 2 2" xfId="7197" xr:uid="{00000000-0005-0000-0000-00002F0B0000}"/>
    <cellStyle name="Currency 3 2 4 2 2 2 2" xfId="15647" xr:uid="{291ACE0C-2414-4C88-8CC8-EAB6BB91DBD5}"/>
    <cellStyle name="Currency 3 2 4 2 2 3" xfId="11429" xr:uid="{3C85DD0E-FE41-455C-B24E-99E3EDDB7E13}"/>
    <cellStyle name="Currency 3 2 4 2 3" xfId="5052" xr:uid="{00000000-0005-0000-0000-0000300B0000}"/>
    <cellStyle name="Currency 3 2 4 2 3 2" xfId="13502" xr:uid="{E529DEA6-1767-404E-B9AD-CD6CD55B096B}"/>
    <cellStyle name="Currency 3 2 4 2 4" xfId="9284" xr:uid="{94F007A1-2F83-4C31-815E-467D6C04CF8E}"/>
    <cellStyle name="Currency 3 2 4 3" xfId="1157" xr:uid="{00000000-0005-0000-0000-0000310B0000}"/>
    <cellStyle name="Currency 3 2 4 3 2" xfId="3388" xr:uid="{00000000-0005-0000-0000-0000320B0000}"/>
    <cellStyle name="Currency 3 2 4 3 2 2" xfId="7610" xr:uid="{00000000-0005-0000-0000-0000330B0000}"/>
    <cellStyle name="Currency 3 2 4 3 2 2 2" xfId="16060" xr:uid="{2113824D-7E23-4521-BE4F-9ED101DFAEC5}"/>
    <cellStyle name="Currency 3 2 4 3 2 3" xfId="11842" xr:uid="{327579F0-8776-4172-A906-664B6BECF82F}"/>
    <cellStyle name="Currency 3 2 4 3 3" xfId="5465" xr:uid="{00000000-0005-0000-0000-0000340B0000}"/>
    <cellStyle name="Currency 3 2 4 3 3 2" xfId="13915" xr:uid="{A1C44C10-3048-4B8B-AE5E-1A7F8E07BC2E}"/>
    <cellStyle name="Currency 3 2 4 3 4" xfId="9697" xr:uid="{5AD7F0AE-70A4-4F2D-89B6-06E6AD163428}"/>
    <cellStyle name="Currency 3 2 4 4" xfId="1571" xr:uid="{00000000-0005-0000-0000-0000350B0000}"/>
    <cellStyle name="Currency 3 2 4 4 2" xfId="3801" xr:uid="{00000000-0005-0000-0000-0000360B0000}"/>
    <cellStyle name="Currency 3 2 4 4 2 2" xfId="8023" xr:uid="{00000000-0005-0000-0000-0000370B0000}"/>
    <cellStyle name="Currency 3 2 4 4 2 2 2" xfId="16473" xr:uid="{31DF7647-DA15-426E-99F1-43653B345DC6}"/>
    <cellStyle name="Currency 3 2 4 4 2 3" xfId="12255" xr:uid="{418F85FE-274A-4351-87EA-AE5386A518B5}"/>
    <cellStyle name="Currency 3 2 4 4 3" xfId="5878" xr:uid="{00000000-0005-0000-0000-0000380B0000}"/>
    <cellStyle name="Currency 3 2 4 4 3 2" xfId="14328" xr:uid="{46351CD2-2604-4049-A888-ADF1E4332C0D}"/>
    <cellStyle name="Currency 3 2 4 4 4" xfId="10110" xr:uid="{6B41D399-A783-47A9-AD0B-73E78DC4B3B0}"/>
    <cellStyle name="Currency 3 2 4 5" xfId="1985" xr:uid="{00000000-0005-0000-0000-0000390B0000}"/>
    <cellStyle name="Currency 3 2 4 5 2" xfId="4214" xr:uid="{00000000-0005-0000-0000-00003A0B0000}"/>
    <cellStyle name="Currency 3 2 4 5 2 2" xfId="8436" xr:uid="{00000000-0005-0000-0000-00003B0B0000}"/>
    <cellStyle name="Currency 3 2 4 5 2 2 2" xfId="16886" xr:uid="{E8118040-B43D-4DFC-831D-6E656B007D70}"/>
    <cellStyle name="Currency 3 2 4 5 2 3" xfId="12668" xr:uid="{701D66C6-802F-4245-A054-9D79E8DA73DC}"/>
    <cellStyle name="Currency 3 2 4 5 3" xfId="6291" xr:uid="{00000000-0005-0000-0000-00003C0B0000}"/>
    <cellStyle name="Currency 3 2 4 5 3 2" xfId="14741" xr:uid="{EBF1C82B-5A12-4F5C-95C1-6807DC819721}"/>
    <cellStyle name="Currency 3 2 4 5 4" xfId="10523" xr:uid="{F69D43EF-271E-4297-8398-4D029F03BBC3}"/>
    <cellStyle name="Currency 3 2 4 6" xfId="2420" xr:uid="{00000000-0005-0000-0000-00003D0B0000}"/>
    <cellStyle name="Currency 3 2 4 6 2" xfId="6704" xr:uid="{00000000-0005-0000-0000-00003E0B0000}"/>
    <cellStyle name="Currency 3 2 4 6 2 2" xfId="15154" xr:uid="{7F9DD1C3-0E36-49EA-B7A0-A9877ACD8D2E}"/>
    <cellStyle name="Currency 3 2 4 6 3" xfId="10936" xr:uid="{C5AE7A0F-B24A-4BCD-804F-87614B9682F8}"/>
    <cellStyle name="Currency 3 2 4 7" xfId="2717" xr:uid="{00000000-0005-0000-0000-00003F0B0000}"/>
    <cellStyle name="Currency 3 2 4 8" xfId="2798" xr:uid="{00000000-0005-0000-0000-0000400B0000}"/>
    <cellStyle name="Currency 3 2 4 8 2" xfId="7021" xr:uid="{00000000-0005-0000-0000-0000410B0000}"/>
    <cellStyle name="Currency 3 2 4 8 2 2" xfId="15471" xr:uid="{26843272-7D64-42CC-A4E5-A0F505FC51E4}"/>
    <cellStyle name="Currency 3 2 4 8 3" xfId="11253" xr:uid="{75E7CF9C-57A5-4B47-AD4C-E56592CBB098}"/>
    <cellStyle name="Currency 3 2 4 9" xfId="4638" xr:uid="{00000000-0005-0000-0000-0000420B0000}"/>
    <cellStyle name="Currency 3 2 4 9 2" xfId="13088" xr:uid="{36DF6E75-DF00-4D14-AA27-B0626DE55353}"/>
    <cellStyle name="Currency 3 2 5" xfId="185" xr:uid="{00000000-0005-0000-0000-0000430B0000}"/>
    <cellStyle name="Currency 3 2 5 10" xfId="8871" xr:uid="{DA6A75D7-936D-48E6-8FDE-B97E438EB67B}"/>
    <cellStyle name="Currency 3 2 5 2" xfId="715" xr:uid="{00000000-0005-0000-0000-0000440B0000}"/>
    <cellStyle name="Currency 3 2 5 2 2" xfId="2976" xr:uid="{00000000-0005-0000-0000-0000450B0000}"/>
    <cellStyle name="Currency 3 2 5 2 2 2" xfId="7198" xr:uid="{00000000-0005-0000-0000-0000460B0000}"/>
    <cellStyle name="Currency 3 2 5 2 2 2 2" xfId="15648" xr:uid="{537BD34B-1D5F-49FF-A94B-7F9273850D8C}"/>
    <cellStyle name="Currency 3 2 5 2 2 3" xfId="11430" xr:uid="{D6C920F4-3E0A-4C61-A95C-E8A11A4195ED}"/>
    <cellStyle name="Currency 3 2 5 2 3" xfId="5053" xr:uid="{00000000-0005-0000-0000-0000470B0000}"/>
    <cellStyle name="Currency 3 2 5 2 3 2" xfId="13503" xr:uid="{EA78FEC8-A3E7-45BA-B636-39B29378A21D}"/>
    <cellStyle name="Currency 3 2 5 2 4" xfId="9285" xr:uid="{53D0072E-981F-4F42-8128-932A6FCC7769}"/>
    <cellStyle name="Currency 3 2 5 3" xfId="1158" xr:uid="{00000000-0005-0000-0000-0000480B0000}"/>
    <cellStyle name="Currency 3 2 5 3 2" xfId="3389" xr:uid="{00000000-0005-0000-0000-0000490B0000}"/>
    <cellStyle name="Currency 3 2 5 3 2 2" xfId="7611" xr:uid="{00000000-0005-0000-0000-00004A0B0000}"/>
    <cellStyle name="Currency 3 2 5 3 2 2 2" xfId="16061" xr:uid="{75B80FD5-65A7-4A36-A739-4C70F14F93DA}"/>
    <cellStyle name="Currency 3 2 5 3 2 3" xfId="11843" xr:uid="{52286502-136E-47F4-A5EC-975E05DA985E}"/>
    <cellStyle name="Currency 3 2 5 3 3" xfId="5466" xr:uid="{00000000-0005-0000-0000-00004B0B0000}"/>
    <cellStyle name="Currency 3 2 5 3 3 2" xfId="13916" xr:uid="{9CADEA9C-546A-4ED9-9C4F-B6E9FC1121EA}"/>
    <cellStyle name="Currency 3 2 5 3 4" xfId="9698" xr:uid="{47239771-8507-4106-9957-116045287B84}"/>
    <cellStyle name="Currency 3 2 5 4" xfId="1572" xr:uid="{00000000-0005-0000-0000-00004C0B0000}"/>
    <cellStyle name="Currency 3 2 5 4 2" xfId="3802" xr:uid="{00000000-0005-0000-0000-00004D0B0000}"/>
    <cellStyle name="Currency 3 2 5 4 2 2" xfId="8024" xr:uid="{00000000-0005-0000-0000-00004E0B0000}"/>
    <cellStyle name="Currency 3 2 5 4 2 2 2" xfId="16474" xr:uid="{6C9F975C-C40C-4116-A42D-81C0DF049951}"/>
    <cellStyle name="Currency 3 2 5 4 2 3" xfId="12256" xr:uid="{2AD91D8A-6A25-4E1C-B7A6-9BB68BF700E3}"/>
    <cellStyle name="Currency 3 2 5 4 3" xfId="5879" xr:uid="{00000000-0005-0000-0000-00004F0B0000}"/>
    <cellStyle name="Currency 3 2 5 4 3 2" xfId="14329" xr:uid="{3DBFD55F-578A-475F-B3B8-7CA024BCE4CA}"/>
    <cellStyle name="Currency 3 2 5 4 4" xfId="10111" xr:uid="{B6ED0A6C-8A57-479F-8DF0-FDE918E3674E}"/>
    <cellStyle name="Currency 3 2 5 5" xfId="1986" xr:uid="{00000000-0005-0000-0000-0000500B0000}"/>
    <cellStyle name="Currency 3 2 5 5 2" xfId="4215" xr:uid="{00000000-0005-0000-0000-0000510B0000}"/>
    <cellStyle name="Currency 3 2 5 5 2 2" xfId="8437" xr:uid="{00000000-0005-0000-0000-0000520B0000}"/>
    <cellStyle name="Currency 3 2 5 5 2 2 2" xfId="16887" xr:uid="{F3057836-9B6F-4602-AF25-DE414D7BB056}"/>
    <cellStyle name="Currency 3 2 5 5 2 3" xfId="12669" xr:uid="{6942EE17-4C3D-40D0-97A0-829F741127F4}"/>
    <cellStyle name="Currency 3 2 5 5 3" xfId="6292" xr:uid="{00000000-0005-0000-0000-0000530B0000}"/>
    <cellStyle name="Currency 3 2 5 5 3 2" xfId="14742" xr:uid="{4B5C6503-0481-4B46-9133-95B6C9D9CD57}"/>
    <cellStyle name="Currency 3 2 5 5 4" xfId="10524" xr:uid="{1B7E1D31-7FFD-4A88-9A3B-BF53E5B34DB6}"/>
    <cellStyle name="Currency 3 2 5 6" xfId="2421" xr:uid="{00000000-0005-0000-0000-0000540B0000}"/>
    <cellStyle name="Currency 3 2 5 6 2" xfId="6705" xr:uid="{00000000-0005-0000-0000-0000550B0000}"/>
    <cellStyle name="Currency 3 2 5 6 2 2" xfId="15155" xr:uid="{2C94D009-0603-465F-8876-CA59C88577FF}"/>
    <cellStyle name="Currency 3 2 5 6 3" xfId="10937" xr:uid="{32693592-C33E-4E00-BA5D-4580058BD36E}"/>
    <cellStyle name="Currency 3 2 5 7" xfId="2718" xr:uid="{00000000-0005-0000-0000-0000560B0000}"/>
    <cellStyle name="Currency 3 2 5 8" xfId="2799" xr:uid="{00000000-0005-0000-0000-0000570B0000}"/>
    <cellStyle name="Currency 3 2 5 8 2" xfId="7022" xr:uid="{00000000-0005-0000-0000-0000580B0000}"/>
    <cellStyle name="Currency 3 2 5 8 2 2" xfId="15472" xr:uid="{F8DCE838-62D5-42F4-9E90-511BD8B8F677}"/>
    <cellStyle name="Currency 3 2 5 8 3" xfId="11254" xr:uid="{59553E90-F431-4855-8967-DFD57B3996EB}"/>
    <cellStyle name="Currency 3 2 5 9" xfId="4639" xr:uid="{00000000-0005-0000-0000-0000590B0000}"/>
    <cellStyle name="Currency 3 2 5 9 2" xfId="13089" xr:uid="{2A6BB62C-D205-4066-904C-5E8A2E803324}"/>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0 2 2" xfId="15473" xr:uid="{D898F783-6FE5-4357-A472-E6AB213F4C49}"/>
    <cellStyle name="Currency 5 2 2 2 10 3" xfId="11255" xr:uid="{940FD53F-B804-4135-B8FE-AB997E74E86F}"/>
    <cellStyle name="Currency 5 2 2 2 11" xfId="4640" xr:uid="{00000000-0005-0000-0000-00006C0B0000}"/>
    <cellStyle name="Currency 5 2 2 2 11 2" xfId="13090" xr:uid="{D378C65D-834B-4AC3-AD0E-5D230CCE6608}"/>
    <cellStyle name="Currency 5 2 2 2 12" xfId="8872" xr:uid="{33E99A14-6F78-44D2-BBF0-2920705F0397}"/>
    <cellStyle name="Currency 5 2 2 2 2" xfId="197" xr:uid="{00000000-0005-0000-0000-00006D0B0000}"/>
    <cellStyle name="Currency 5 2 2 2 2 10" xfId="4641" xr:uid="{00000000-0005-0000-0000-00006E0B0000}"/>
    <cellStyle name="Currency 5 2 2 2 2 10 2" xfId="13091" xr:uid="{D4389822-A9C3-4C12-BECA-DE616330063F}"/>
    <cellStyle name="Currency 5 2 2 2 2 11" xfId="8873" xr:uid="{E71046AF-DAAE-48DE-B4E8-6DAE97859A31}"/>
    <cellStyle name="Currency 5 2 2 2 2 2" xfId="198" xr:uid="{00000000-0005-0000-0000-00006F0B0000}"/>
    <cellStyle name="Currency 5 2 2 2 2 2 10" xfId="8874" xr:uid="{6C9653FA-DF02-400D-B830-2F30CEA440B2}"/>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2 2 2" xfId="15651" xr:uid="{61016B08-F850-40A6-94D8-CCD911258792}"/>
    <cellStyle name="Currency 5 2 2 2 2 2 2 2 3" xfId="11433" xr:uid="{1187DFD3-537D-4262-BE66-476534112748}"/>
    <cellStyle name="Currency 5 2 2 2 2 2 2 3" xfId="5056" xr:uid="{00000000-0005-0000-0000-0000730B0000}"/>
    <cellStyle name="Currency 5 2 2 2 2 2 2 3 2" xfId="13506" xr:uid="{FE6732D3-D89F-4F69-B391-8C6082E074C3}"/>
    <cellStyle name="Currency 5 2 2 2 2 2 2 4" xfId="9288" xr:uid="{FFE32A98-E4D3-4FD2-B969-CE7F2FF3BB93}"/>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2 2 2" xfId="16064" xr:uid="{9FC57E73-2988-42D1-811F-343115C15919}"/>
    <cellStyle name="Currency 5 2 2 2 2 2 3 2 3" xfId="11846" xr:uid="{DE89D87B-4A1D-4FC5-9213-BE74A8BB67D8}"/>
    <cellStyle name="Currency 5 2 2 2 2 2 3 3" xfId="5469" xr:uid="{00000000-0005-0000-0000-0000770B0000}"/>
    <cellStyle name="Currency 5 2 2 2 2 2 3 3 2" xfId="13919" xr:uid="{B168B427-A63A-4BAD-8276-33948F2A9C56}"/>
    <cellStyle name="Currency 5 2 2 2 2 2 3 4" xfId="9701" xr:uid="{37BA9059-2B3E-4933-AE3A-CEA86B23D8D7}"/>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2 2 2" xfId="16477" xr:uid="{3CF6C6F3-9476-4472-94FD-31995A29F2DB}"/>
    <cellStyle name="Currency 5 2 2 2 2 2 4 2 3" xfId="12259" xr:uid="{596B2260-D3BA-4C75-BC3D-3A0C7D21E981}"/>
    <cellStyle name="Currency 5 2 2 2 2 2 4 3" xfId="5882" xr:uid="{00000000-0005-0000-0000-00007B0B0000}"/>
    <cellStyle name="Currency 5 2 2 2 2 2 4 3 2" xfId="14332" xr:uid="{7C0556E6-8291-4D0A-A6E5-4157F61B74C6}"/>
    <cellStyle name="Currency 5 2 2 2 2 2 4 4" xfId="10114" xr:uid="{E1D0A2AE-D1F8-4CE4-8B3A-FEC9141D5412}"/>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2 2 2" xfId="16890" xr:uid="{5502DBF4-87F0-4DBD-877D-041FCEDE3F60}"/>
    <cellStyle name="Currency 5 2 2 2 2 2 5 2 3" xfId="12672" xr:uid="{8401913F-9B84-47AC-BAB9-846671526493}"/>
    <cellStyle name="Currency 5 2 2 2 2 2 5 3" xfId="6295" xr:uid="{00000000-0005-0000-0000-00007F0B0000}"/>
    <cellStyle name="Currency 5 2 2 2 2 2 5 3 2" xfId="14745" xr:uid="{FC0AEE52-8C8F-4BEB-B911-C98E2BF40A0B}"/>
    <cellStyle name="Currency 5 2 2 2 2 2 5 4" xfId="10527" xr:uid="{8BFA2E8D-60CF-4638-9233-FBC4FD174B73}"/>
    <cellStyle name="Currency 5 2 2 2 2 2 6" xfId="2424" xr:uid="{00000000-0005-0000-0000-0000800B0000}"/>
    <cellStyle name="Currency 5 2 2 2 2 2 6 2" xfId="6708" xr:uid="{00000000-0005-0000-0000-0000810B0000}"/>
    <cellStyle name="Currency 5 2 2 2 2 2 6 2 2" xfId="15158" xr:uid="{D82086BD-BFAE-43FB-A5B6-77543370FA47}"/>
    <cellStyle name="Currency 5 2 2 2 2 2 6 3" xfId="10940" xr:uid="{02173D9B-FE88-4268-A2A1-C33ABB411ACE}"/>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8 2 2" xfId="15475" xr:uid="{1B8C8378-6454-41B4-A6B6-B7F969B3453D}"/>
    <cellStyle name="Currency 5 2 2 2 2 2 8 3" xfId="11257" xr:uid="{9717A656-225A-477F-8813-DBF130C4544E}"/>
    <cellStyle name="Currency 5 2 2 2 2 2 9" xfId="4642" xr:uid="{00000000-0005-0000-0000-0000850B0000}"/>
    <cellStyle name="Currency 5 2 2 2 2 2 9 2" xfId="13092" xr:uid="{62BE7012-D0C1-4CAE-8F04-4400DDB5D4FF}"/>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2 2 2" xfId="15650" xr:uid="{7723EA5A-BA6F-411F-A7A8-3D7865E58F56}"/>
    <cellStyle name="Currency 5 2 2 2 2 3 2 3" xfId="11432" xr:uid="{A6C29D7A-EC9E-4A74-8C8C-DEDE00B7B367}"/>
    <cellStyle name="Currency 5 2 2 2 2 3 3" xfId="5055" xr:uid="{00000000-0005-0000-0000-0000890B0000}"/>
    <cellStyle name="Currency 5 2 2 2 2 3 3 2" xfId="13505" xr:uid="{4353586D-0B9A-42B3-89D3-CBEC11A6041A}"/>
    <cellStyle name="Currency 5 2 2 2 2 3 4" xfId="9287" xr:uid="{32330E22-8A16-4A12-AD6C-BB50617F2822}"/>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2 2 2" xfId="16063" xr:uid="{E0CE045A-CF67-424D-AF7C-36F3483AD9F8}"/>
    <cellStyle name="Currency 5 2 2 2 2 4 2 3" xfId="11845" xr:uid="{97CB093C-C081-4C4D-8C42-6B2EC42810BE}"/>
    <cellStyle name="Currency 5 2 2 2 2 4 3" xfId="5468" xr:uid="{00000000-0005-0000-0000-00008D0B0000}"/>
    <cellStyle name="Currency 5 2 2 2 2 4 3 2" xfId="13918" xr:uid="{900F8218-9DCD-4B51-983F-13D0E0A98F41}"/>
    <cellStyle name="Currency 5 2 2 2 2 4 4" xfId="9700" xr:uid="{0F3F0505-F410-4AF2-9316-F965933B36A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2 2 2" xfId="16476" xr:uid="{3FE8D36C-71B7-450E-8FB3-E3C4E848BB05}"/>
    <cellStyle name="Currency 5 2 2 2 2 5 2 3" xfId="12258" xr:uid="{5E4DEB0E-0EC9-4AEA-8822-9E347C1BA394}"/>
    <cellStyle name="Currency 5 2 2 2 2 5 3" xfId="5881" xr:uid="{00000000-0005-0000-0000-0000910B0000}"/>
    <cellStyle name="Currency 5 2 2 2 2 5 3 2" xfId="14331" xr:uid="{6FB21D9B-0F6F-4A84-A7BE-273FC742E10F}"/>
    <cellStyle name="Currency 5 2 2 2 2 5 4" xfId="10113" xr:uid="{4CF4B9C5-A6FF-42C9-9693-DF1118DF8FE8}"/>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2 2 2" xfId="16889" xr:uid="{1B91F8FF-1A83-4448-8398-D004DE2B54E0}"/>
    <cellStyle name="Currency 5 2 2 2 2 6 2 3" xfId="12671" xr:uid="{39E2E630-B7B1-4A19-AD06-514CA379FACD}"/>
    <cellStyle name="Currency 5 2 2 2 2 6 3" xfId="6294" xr:uid="{00000000-0005-0000-0000-0000950B0000}"/>
    <cellStyle name="Currency 5 2 2 2 2 6 3 2" xfId="14744" xr:uid="{571A869B-F719-4A5F-AF23-5A104D7C0AA3}"/>
    <cellStyle name="Currency 5 2 2 2 2 6 4" xfId="10526" xr:uid="{800A644C-38B3-4B07-ABDA-9D82D9F4ACE6}"/>
    <cellStyle name="Currency 5 2 2 2 2 7" xfId="2423" xr:uid="{00000000-0005-0000-0000-0000960B0000}"/>
    <cellStyle name="Currency 5 2 2 2 2 7 2" xfId="6707" xr:uid="{00000000-0005-0000-0000-0000970B0000}"/>
    <cellStyle name="Currency 5 2 2 2 2 7 2 2" xfId="15157" xr:uid="{35D0A067-C99B-441D-8588-3AECE3C0607A}"/>
    <cellStyle name="Currency 5 2 2 2 2 7 3" xfId="10939" xr:uid="{674E2D09-5F75-44B9-AD5D-1094B9856FF8}"/>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2 9 2 2" xfId="15474" xr:uid="{BE44560E-FAD8-4F09-8D65-CB1EABD4C470}"/>
    <cellStyle name="Currency 5 2 2 2 2 9 3" xfId="11256" xr:uid="{BE9EA671-2B83-4D1B-B0D5-03CB491263F9}"/>
    <cellStyle name="Currency 5 2 2 2 3" xfId="199" xr:uid="{00000000-0005-0000-0000-00009B0B0000}"/>
    <cellStyle name="Currency 5 2 2 2 3 10" xfId="8875" xr:uid="{14756BD3-BF3D-45D5-9D54-C03B424E7454}"/>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2 2 2" xfId="15652" xr:uid="{6F771883-BA12-4162-99D9-7F3584E65E81}"/>
    <cellStyle name="Currency 5 2 2 2 3 2 2 3" xfId="11434" xr:uid="{4354F14B-E4A7-406E-8180-9A258FB9DC6A}"/>
    <cellStyle name="Currency 5 2 2 2 3 2 3" xfId="5057" xr:uid="{00000000-0005-0000-0000-00009F0B0000}"/>
    <cellStyle name="Currency 5 2 2 2 3 2 3 2" xfId="13507" xr:uid="{2C1A65AE-7F9A-40FD-9EE6-17DD56829D35}"/>
    <cellStyle name="Currency 5 2 2 2 3 2 4" xfId="9289" xr:uid="{8CCEA9E8-1C73-4471-9A92-F6BE1DC5AA2E}"/>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2 2 2" xfId="16065" xr:uid="{836CDD00-2F51-4AD5-87E8-729AADC00AFF}"/>
    <cellStyle name="Currency 5 2 2 2 3 3 2 3" xfId="11847" xr:uid="{153B5179-DEE6-410F-A9C4-818D6FE7388B}"/>
    <cellStyle name="Currency 5 2 2 2 3 3 3" xfId="5470" xr:uid="{00000000-0005-0000-0000-0000A30B0000}"/>
    <cellStyle name="Currency 5 2 2 2 3 3 3 2" xfId="13920" xr:uid="{BB019A23-28A6-4F1B-89F8-860D36FFB838}"/>
    <cellStyle name="Currency 5 2 2 2 3 3 4" xfId="9702" xr:uid="{3AED1291-8AA7-47AE-BC63-42DDF53F32D7}"/>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2 2 2" xfId="16478" xr:uid="{300B748C-0CDF-4502-90C1-504A2736769C}"/>
    <cellStyle name="Currency 5 2 2 2 3 4 2 3" xfId="12260" xr:uid="{19E40C02-9D7C-4DDC-B32C-DF7C15E15668}"/>
    <cellStyle name="Currency 5 2 2 2 3 4 3" xfId="5883" xr:uid="{00000000-0005-0000-0000-0000A70B0000}"/>
    <cellStyle name="Currency 5 2 2 2 3 4 3 2" xfId="14333" xr:uid="{1C0B7706-3006-4E7B-A13E-FD50C65ED6B1}"/>
    <cellStyle name="Currency 5 2 2 2 3 4 4" xfId="10115" xr:uid="{69DCCD98-913E-4757-8DBB-93C2DF444A81}"/>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2 2 2" xfId="16891" xr:uid="{C653CAF1-5218-41D4-B23F-FAD422BDCD85}"/>
    <cellStyle name="Currency 5 2 2 2 3 5 2 3" xfId="12673" xr:uid="{9B0E6C1A-6B45-4030-A99D-6F5D04AA137A}"/>
    <cellStyle name="Currency 5 2 2 2 3 5 3" xfId="6296" xr:uid="{00000000-0005-0000-0000-0000AB0B0000}"/>
    <cellStyle name="Currency 5 2 2 2 3 5 3 2" xfId="14746" xr:uid="{2B67407C-F712-47D0-8E22-D37E58376B7E}"/>
    <cellStyle name="Currency 5 2 2 2 3 5 4" xfId="10528" xr:uid="{C4DEA6AC-A616-4E4D-B487-8A8DC12D0938}"/>
    <cellStyle name="Currency 5 2 2 2 3 6" xfId="2425" xr:uid="{00000000-0005-0000-0000-0000AC0B0000}"/>
    <cellStyle name="Currency 5 2 2 2 3 6 2" xfId="6709" xr:uid="{00000000-0005-0000-0000-0000AD0B0000}"/>
    <cellStyle name="Currency 5 2 2 2 3 6 2 2" xfId="15159" xr:uid="{001E76A8-51DF-4CCF-8016-BA6EA7C9A7A4}"/>
    <cellStyle name="Currency 5 2 2 2 3 6 3" xfId="10941" xr:uid="{D564D2EF-824E-4CA1-9079-4E318D68512F}"/>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8 2 2" xfId="15476" xr:uid="{741A5571-630B-4FAB-9338-79C740B06D85}"/>
    <cellStyle name="Currency 5 2 2 2 3 8 3" xfId="11258" xr:uid="{5B8D4895-608C-4D65-982D-871B3B25DF61}"/>
    <cellStyle name="Currency 5 2 2 2 3 9" xfId="4643" xr:uid="{00000000-0005-0000-0000-0000B10B0000}"/>
    <cellStyle name="Currency 5 2 2 2 3 9 2" xfId="13093" xr:uid="{59CB432A-F3C0-4701-BFAE-896964F4B9C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2 2 2" xfId="15649" xr:uid="{28FABB06-C739-4869-B5B9-2038603551BF}"/>
    <cellStyle name="Currency 5 2 2 2 4 2 3" xfId="11431" xr:uid="{9E6D606A-4F60-4CBE-B79B-7EC1F624F4A2}"/>
    <cellStyle name="Currency 5 2 2 2 4 3" xfId="5054" xr:uid="{00000000-0005-0000-0000-0000B50B0000}"/>
    <cellStyle name="Currency 5 2 2 2 4 3 2" xfId="13504" xr:uid="{E661938D-944C-48E5-A9D9-3F7B9B3E7AED}"/>
    <cellStyle name="Currency 5 2 2 2 4 4" xfId="9286" xr:uid="{02454E87-02D2-4B4B-B232-F7BFB421457F}"/>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2 2 2" xfId="16062" xr:uid="{679BEBD3-02A0-427B-B883-BB2E52710120}"/>
    <cellStyle name="Currency 5 2 2 2 5 2 3" xfId="11844" xr:uid="{A1DFAFB0-BAF1-4026-BC71-8BFAD15A6D38}"/>
    <cellStyle name="Currency 5 2 2 2 5 3" xfId="5467" xr:uid="{00000000-0005-0000-0000-0000B90B0000}"/>
    <cellStyle name="Currency 5 2 2 2 5 3 2" xfId="13917" xr:uid="{7F970E6E-D5B2-4794-9ABA-89FA814AB5A5}"/>
    <cellStyle name="Currency 5 2 2 2 5 4" xfId="9699" xr:uid="{92509EAB-2717-4D49-A32D-EFF13F69E61D}"/>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2 2 2" xfId="16475" xr:uid="{D11F0E21-2CB6-457A-86D1-FB071400277C}"/>
    <cellStyle name="Currency 5 2 2 2 6 2 3" xfId="12257" xr:uid="{725167D0-9A1B-413F-8D11-BF6C3ADF8A7C}"/>
    <cellStyle name="Currency 5 2 2 2 6 3" xfId="5880" xr:uid="{00000000-0005-0000-0000-0000BD0B0000}"/>
    <cellStyle name="Currency 5 2 2 2 6 3 2" xfId="14330" xr:uid="{C571D5F0-A416-425C-8044-79B7F8D6D890}"/>
    <cellStyle name="Currency 5 2 2 2 6 4" xfId="10112" xr:uid="{BC44C61C-F5AF-4A46-9371-54FFC1CFA01D}"/>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2 2 2" xfId="16888" xr:uid="{4546B298-F80D-484B-94DD-CB678B625B94}"/>
    <cellStyle name="Currency 5 2 2 2 7 2 3" xfId="12670" xr:uid="{3CECDCC0-724A-48C8-A0B5-0FA94B198832}"/>
    <cellStyle name="Currency 5 2 2 2 7 3" xfId="6293" xr:uid="{00000000-0005-0000-0000-0000C10B0000}"/>
    <cellStyle name="Currency 5 2 2 2 7 3 2" xfId="14743" xr:uid="{87DE7B34-9615-4AAB-928D-F124D9152FA4}"/>
    <cellStyle name="Currency 5 2 2 2 7 4" xfId="10525" xr:uid="{2DD2F038-5176-425C-9B73-450E88027D00}"/>
    <cellStyle name="Currency 5 2 2 2 8" xfId="2422" xr:uid="{00000000-0005-0000-0000-0000C20B0000}"/>
    <cellStyle name="Currency 5 2 2 2 8 2" xfId="6706" xr:uid="{00000000-0005-0000-0000-0000C30B0000}"/>
    <cellStyle name="Currency 5 2 2 2 8 2 2" xfId="15156" xr:uid="{6455ED2A-8ABA-49CC-86DB-4D3E05F4B374}"/>
    <cellStyle name="Currency 5 2 2 2 8 3" xfId="10938" xr:uid="{70015F9B-FAF0-43A6-BB51-DC6F7A6616B4}"/>
    <cellStyle name="Currency 5 2 2 2 9" xfId="2719" xr:uid="{00000000-0005-0000-0000-0000C40B0000}"/>
    <cellStyle name="Currency 5 2 2 3" xfId="200" xr:uid="{00000000-0005-0000-0000-0000C50B0000}"/>
    <cellStyle name="Currency 5 2 2 3 10" xfId="4644" xr:uid="{00000000-0005-0000-0000-0000C60B0000}"/>
    <cellStyle name="Currency 5 2 2 3 10 2" xfId="13094" xr:uid="{B0302DE9-EDD5-4ECF-8B5B-0E39DCA0A8EA}"/>
    <cellStyle name="Currency 5 2 2 3 11" xfId="8876" xr:uid="{7CEDE26A-2624-4940-B854-E9C20CD3678B}"/>
    <cellStyle name="Currency 5 2 2 3 2" xfId="201" xr:uid="{00000000-0005-0000-0000-0000C70B0000}"/>
    <cellStyle name="Currency 5 2 2 3 2 10" xfId="8877" xr:uid="{2C0BB716-75A3-468B-A615-4046F49F6548}"/>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2 2 2" xfId="15654" xr:uid="{ACB5AF5D-787E-4734-AAD9-B4A7C98F4D5C}"/>
    <cellStyle name="Currency 5 2 2 3 2 2 2 3" xfId="11436" xr:uid="{39F72888-810B-4F6E-B85B-9C74A1769E87}"/>
    <cellStyle name="Currency 5 2 2 3 2 2 3" xfId="5059" xr:uid="{00000000-0005-0000-0000-0000CB0B0000}"/>
    <cellStyle name="Currency 5 2 2 3 2 2 3 2" xfId="13509" xr:uid="{975240FD-5CA1-4331-BEA7-25B585575725}"/>
    <cellStyle name="Currency 5 2 2 3 2 2 4" xfId="9291" xr:uid="{0E28D866-0D9B-402C-AE67-E3DC32210C15}"/>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2 2 2" xfId="16067" xr:uid="{D1E5BC2E-9955-4739-ADBB-0ED357E8D84C}"/>
    <cellStyle name="Currency 5 2 2 3 2 3 2 3" xfId="11849" xr:uid="{DA837292-061E-4BC6-814E-1238F7020157}"/>
    <cellStyle name="Currency 5 2 2 3 2 3 3" xfId="5472" xr:uid="{00000000-0005-0000-0000-0000CF0B0000}"/>
    <cellStyle name="Currency 5 2 2 3 2 3 3 2" xfId="13922" xr:uid="{862DEF98-1494-4334-945E-2B45D46A15C0}"/>
    <cellStyle name="Currency 5 2 2 3 2 3 4" xfId="9704" xr:uid="{D7961292-DFC2-4575-B0F0-C4440A87A85C}"/>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2 2 2" xfId="16480" xr:uid="{0FE60DC8-F83E-4583-B481-6C2108AAFE2E}"/>
    <cellStyle name="Currency 5 2 2 3 2 4 2 3" xfId="12262" xr:uid="{CA339BE4-0964-4F1D-9F3F-E796E474A0C4}"/>
    <cellStyle name="Currency 5 2 2 3 2 4 3" xfId="5885" xr:uid="{00000000-0005-0000-0000-0000D30B0000}"/>
    <cellStyle name="Currency 5 2 2 3 2 4 3 2" xfId="14335" xr:uid="{F4D2DC06-CF2C-4071-9B0C-5E865198DC20}"/>
    <cellStyle name="Currency 5 2 2 3 2 4 4" xfId="10117" xr:uid="{A1662209-4CEE-4F2A-8CE7-581458048B33}"/>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2 2 2" xfId="16893" xr:uid="{8103FCBF-822E-4C7A-8AA6-45752E809F97}"/>
    <cellStyle name="Currency 5 2 2 3 2 5 2 3" xfId="12675" xr:uid="{E289951A-C7EE-4079-BF4A-2252DE06B073}"/>
    <cellStyle name="Currency 5 2 2 3 2 5 3" xfId="6298" xr:uid="{00000000-0005-0000-0000-0000D70B0000}"/>
    <cellStyle name="Currency 5 2 2 3 2 5 3 2" xfId="14748" xr:uid="{BAEFD088-DEDC-4EB5-BC36-23A07F91BF0E}"/>
    <cellStyle name="Currency 5 2 2 3 2 5 4" xfId="10530" xr:uid="{F660CC45-B98D-4AC7-A035-303DCA68ED75}"/>
    <cellStyle name="Currency 5 2 2 3 2 6" xfId="2427" xr:uid="{00000000-0005-0000-0000-0000D80B0000}"/>
    <cellStyle name="Currency 5 2 2 3 2 6 2" xfId="6711" xr:uid="{00000000-0005-0000-0000-0000D90B0000}"/>
    <cellStyle name="Currency 5 2 2 3 2 6 2 2" xfId="15161" xr:uid="{43EC869A-03B8-4C13-8C67-1AADCBDC4B96}"/>
    <cellStyle name="Currency 5 2 2 3 2 6 3" xfId="10943" xr:uid="{1C7D59DD-928F-4BF5-AC5A-105ECDB64553}"/>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8 2 2" xfId="15478" xr:uid="{F74BC743-FC3F-41B2-A6BE-2AC61B6043F7}"/>
    <cellStyle name="Currency 5 2 2 3 2 8 3" xfId="11260" xr:uid="{60364A82-02DC-4592-B42D-D861C69121CB}"/>
    <cellStyle name="Currency 5 2 2 3 2 9" xfId="4645" xr:uid="{00000000-0005-0000-0000-0000DD0B0000}"/>
    <cellStyle name="Currency 5 2 2 3 2 9 2" xfId="13095" xr:uid="{043651CD-26D9-42CD-9399-F316B6C6EFD4}"/>
    <cellStyle name="Currency 5 2 2 3 3" xfId="727" xr:uid="{00000000-0005-0000-0000-0000DE0B0000}"/>
    <cellStyle name="Currency 5 2 2 3 3 2" xfId="2981" xr:uid="{00000000-0005-0000-0000-0000DF0B0000}"/>
    <cellStyle name="Currency 5 2 2 3 3 2 2" xfId="7203" xr:uid="{00000000-0005-0000-0000-0000E00B0000}"/>
    <cellStyle name="Currency 5 2 2 3 3 2 2 2" xfId="15653" xr:uid="{70F50679-B94A-495D-90B6-2BD1457045EB}"/>
    <cellStyle name="Currency 5 2 2 3 3 2 3" xfId="11435" xr:uid="{D7684A9C-1E40-4791-97C9-450AC63190C1}"/>
    <cellStyle name="Currency 5 2 2 3 3 3" xfId="5058" xr:uid="{00000000-0005-0000-0000-0000E10B0000}"/>
    <cellStyle name="Currency 5 2 2 3 3 3 2" xfId="13508" xr:uid="{EE0EB682-93E2-45CA-BEF0-6E1BFDAB3B67}"/>
    <cellStyle name="Currency 5 2 2 3 3 4" xfId="9290" xr:uid="{A1941CBE-97D7-4108-B23E-6C1102973A38}"/>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2 2 2" xfId="16066" xr:uid="{3905E3D6-5EE3-4301-A062-A043E0DD9CBC}"/>
    <cellStyle name="Currency 5 2 2 3 4 2 3" xfId="11848" xr:uid="{F870D745-D73D-47C1-B8DC-B9608374386A}"/>
    <cellStyle name="Currency 5 2 2 3 4 3" xfId="5471" xr:uid="{00000000-0005-0000-0000-0000E50B0000}"/>
    <cellStyle name="Currency 5 2 2 3 4 3 2" xfId="13921" xr:uid="{059D735F-3B86-46BF-8834-DB1BEB47D567}"/>
    <cellStyle name="Currency 5 2 2 3 4 4" xfId="9703" xr:uid="{75AF4377-FAA7-4A4F-8395-087A44945A32}"/>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2 2 2" xfId="16479" xr:uid="{1F01BBE8-2C29-438A-8641-C35448DB34B3}"/>
    <cellStyle name="Currency 5 2 2 3 5 2 3" xfId="12261" xr:uid="{3B94FC50-E4F5-48EE-B827-8A56B0720710}"/>
    <cellStyle name="Currency 5 2 2 3 5 3" xfId="5884" xr:uid="{00000000-0005-0000-0000-0000E90B0000}"/>
    <cellStyle name="Currency 5 2 2 3 5 3 2" xfId="14334" xr:uid="{CDA428B6-C842-49EA-9295-89BE1606B232}"/>
    <cellStyle name="Currency 5 2 2 3 5 4" xfId="10116" xr:uid="{BC94AEA2-2F31-404B-A97C-028FFA067ABC}"/>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2 2 2" xfId="16892" xr:uid="{554DCCC6-2846-4136-A4ED-0CDC5F90A348}"/>
    <cellStyle name="Currency 5 2 2 3 6 2 3" xfId="12674" xr:uid="{0959BD89-6EE3-4EFA-9C5E-577D6DB9C550}"/>
    <cellStyle name="Currency 5 2 2 3 6 3" xfId="6297" xr:uid="{00000000-0005-0000-0000-0000ED0B0000}"/>
    <cellStyle name="Currency 5 2 2 3 6 3 2" xfId="14747" xr:uid="{B19A1DD1-ACC8-42E8-9527-F3D25CBDF6E1}"/>
    <cellStyle name="Currency 5 2 2 3 6 4" xfId="10529" xr:uid="{24BFA616-2739-40E9-8238-FB4ACE7A9B18}"/>
    <cellStyle name="Currency 5 2 2 3 7" xfId="2426" xr:uid="{00000000-0005-0000-0000-0000EE0B0000}"/>
    <cellStyle name="Currency 5 2 2 3 7 2" xfId="6710" xr:uid="{00000000-0005-0000-0000-0000EF0B0000}"/>
    <cellStyle name="Currency 5 2 2 3 7 2 2" xfId="15160" xr:uid="{BB26D93F-2FC2-4F4E-9A51-79B0C47A6DCA}"/>
    <cellStyle name="Currency 5 2 2 3 7 3" xfId="10942" xr:uid="{3B2B28E4-D840-4643-8D6B-F9AB1BB00A43}"/>
    <cellStyle name="Currency 5 2 2 3 8" xfId="2723" xr:uid="{00000000-0005-0000-0000-0000F00B0000}"/>
    <cellStyle name="Currency 5 2 2 3 9" xfId="2804" xr:uid="{00000000-0005-0000-0000-0000F10B0000}"/>
    <cellStyle name="Currency 5 2 2 3 9 2" xfId="7027" xr:uid="{00000000-0005-0000-0000-0000F20B0000}"/>
    <cellStyle name="Currency 5 2 2 3 9 2 2" xfId="15477" xr:uid="{EA4FF04C-F9CF-4CAA-95EF-7F454AAF921F}"/>
    <cellStyle name="Currency 5 2 2 3 9 3" xfId="11259" xr:uid="{085286A2-2CD8-4002-B7CA-936C518E7699}"/>
    <cellStyle name="Currency 5 2 2 4" xfId="202" xr:uid="{00000000-0005-0000-0000-0000F30B0000}"/>
    <cellStyle name="Currency 5 2 2 4 10" xfId="8878" xr:uid="{AFDC6E63-E484-4C27-A20A-7E92C5360D9B}"/>
    <cellStyle name="Currency 5 2 2 4 2" xfId="729" xr:uid="{00000000-0005-0000-0000-0000F40B0000}"/>
    <cellStyle name="Currency 5 2 2 4 2 2" xfId="2983" xr:uid="{00000000-0005-0000-0000-0000F50B0000}"/>
    <cellStyle name="Currency 5 2 2 4 2 2 2" xfId="7205" xr:uid="{00000000-0005-0000-0000-0000F60B0000}"/>
    <cellStyle name="Currency 5 2 2 4 2 2 2 2" xfId="15655" xr:uid="{F5DCAAE3-6928-4855-8EC1-E690372ED9F9}"/>
    <cellStyle name="Currency 5 2 2 4 2 2 3" xfId="11437" xr:uid="{5ECB588E-CFDB-49A6-BA1A-04B4208354EF}"/>
    <cellStyle name="Currency 5 2 2 4 2 3" xfId="5060" xr:uid="{00000000-0005-0000-0000-0000F70B0000}"/>
    <cellStyle name="Currency 5 2 2 4 2 3 2" xfId="13510" xr:uid="{0D0E1FFA-F350-4438-BCC3-89EC97553CDC}"/>
    <cellStyle name="Currency 5 2 2 4 2 4" xfId="9292" xr:uid="{B59AFC99-AAE7-49B2-9101-85CD02B44152}"/>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2 2 2" xfId="16068" xr:uid="{D40FD707-9915-4953-AE51-4732D1A6E056}"/>
    <cellStyle name="Currency 5 2 2 4 3 2 3" xfId="11850" xr:uid="{8B0DC8D1-B28B-466A-94A0-D3641FC97A21}"/>
    <cellStyle name="Currency 5 2 2 4 3 3" xfId="5473" xr:uid="{00000000-0005-0000-0000-0000FB0B0000}"/>
    <cellStyle name="Currency 5 2 2 4 3 3 2" xfId="13923" xr:uid="{9E90332F-B2B7-4D9D-8995-8C0BBE759C3E}"/>
    <cellStyle name="Currency 5 2 2 4 3 4" xfId="9705" xr:uid="{B1609415-22EA-4048-AB03-53CF01021434}"/>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2 2 2" xfId="16481" xr:uid="{D877C635-8447-4C4C-8DF4-96820C07AE02}"/>
    <cellStyle name="Currency 5 2 2 4 4 2 3" xfId="12263" xr:uid="{9364A7E2-A318-4890-90BC-C95F17449FB3}"/>
    <cellStyle name="Currency 5 2 2 4 4 3" xfId="5886" xr:uid="{00000000-0005-0000-0000-0000FF0B0000}"/>
    <cellStyle name="Currency 5 2 2 4 4 3 2" xfId="14336" xr:uid="{96E2BD6E-4227-4F3C-BE12-5595E5A1A509}"/>
    <cellStyle name="Currency 5 2 2 4 4 4" xfId="10118" xr:uid="{9C9841FA-01D4-4C8E-B01A-8E337D9AEB65}"/>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2 2 2" xfId="16894" xr:uid="{895988CB-60A0-46A9-92D4-BEDD5BC71B58}"/>
    <cellStyle name="Currency 5 2 2 4 5 2 3" xfId="12676" xr:uid="{88CB4340-B2C3-4ED8-BED3-A52EE4F8BE4B}"/>
    <cellStyle name="Currency 5 2 2 4 5 3" xfId="6299" xr:uid="{00000000-0005-0000-0000-0000030C0000}"/>
    <cellStyle name="Currency 5 2 2 4 5 3 2" xfId="14749" xr:uid="{64C14433-9B3D-425D-861B-1590C25F1737}"/>
    <cellStyle name="Currency 5 2 2 4 5 4" xfId="10531" xr:uid="{343A4979-F8E6-4FB9-8B15-EF18C5737684}"/>
    <cellStyle name="Currency 5 2 2 4 6" xfId="2428" xr:uid="{00000000-0005-0000-0000-0000040C0000}"/>
    <cellStyle name="Currency 5 2 2 4 6 2" xfId="6712" xr:uid="{00000000-0005-0000-0000-0000050C0000}"/>
    <cellStyle name="Currency 5 2 2 4 6 2 2" xfId="15162" xr:uid="{1033A2E7-EAE8-41F6-8E66-0F23B553E062}"/>
    <cellStyle name="Currency 5 2 2 4 6 3" xfId="10944" xr:uid="{BB2090B7-BC7D-416F-A606-1D6AF2035CBC}"/>
    <cellStyle name="Currency 5 2 2 4 7" xfId="2725" xr:uid="{00000000-0005-0000-0000-0000060C0000}"/>
    <cellStyle name="Currency 5 2 2 4 8" xfId="2806" xr:uid="{00000000-0005-0000-0000-0000070C0000}"/>
    <cellStyle name="Currency 5 2 2 4 8 2" xfId="7029" xr:uid="{00000000-0005-0000-0000-0000080C0000}"/>
    <cellStyle name="Currency 5 2 2 4 8 2 2" xfId="15479" xr:uid="{2EA4AF05-D055-453C-9DD3-9968EF601313}"/>
    <cellStyle name="Currency 5 2 2 4 8 3" xfId="11261" xr:uid="{5A667CBF-2F71-4659-AB23-45CB50D06F32}"/>
    <cellStyle name="Currency 5 2 2 4 9" xfId="4646" xr:uid="{00000000-0005-0000-0000-0000090C0000}"/>
    <cellStyle name="Currency 5 2 2 4 9 2" xfId="13096" xr:uid="{8BB8E3A4-84B5-49CA-BF23-A2EC134A276F}"/>
    <cellStyle name="Currency 5 2 2 5" xfId="203" xr:uid="{00000000-0005-0000-0000-00000A0C0000}"/>
    <cellStyle name="Currency 5 2 2 5 10" xfId="8879" xr:uid="{D2B8D86D-5EF1-46CF-8560-00E390F15FA3}"/>
    <cellStyle name="Currency 5 2 2 5 2" xfId="730" xr:uid="{00000000-0005-0000-0000-00000B0C0000}"/>
    <cellStyle name="Currency 5 2 2 5 2 2" xfId="2984" xr:uid="{00000000-0005-0000-0000-00000C0C0000}"/>
    <cellStyle name="Currency 5 2 2 5 2 2 2" xfId="7206" xr:uid="{00000000-0005-0000-0000-00000D0C0000}"/>
    <cellStyle name="Currency 5 2 2 5 2 2 2 2" xfId="15656" xr:uid="{27BFA552-7D4A-42DD-9902-8FDD1E86EA2E}"/>
    <cellStyle name="Currency 5 2 2 5 2 2 3" xfId="11438" xr:uid="{2BC3D586-DBFA-459C-8537-74105ABF8909}"/>
    <cellStyle name="Currency 5 2 2 5 2 3" xfId="5061" xr:uid="{00000000-0005-0000-0000-00000E0C0000}"/>
    <cellStyle name="Currency 5 2 2 5 2 3 2" xfId="13511" xr:uid="{A4B83488-B8D1-4372-B5E8-7561915BEAC7}"/>
    <cellStyle name="Currency 5 2 2 5 2 4" xfId="9293" xr:uid="{2F794D42-9D6D-40E3-B849-C681D1DCF9DE}"/>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2 2 2" xfId="16069" xr:uid="{E811F7C0-AE05-40A7-948C-75EB1C12C426}"/>
    <cellStyle name="Currency 5 2 2 5 3 2 3" xfId="11851" xr:uid="{BB64307D-0274-4874-9D25-C5226BA20899}"/>
    <cellStyle name="Currency 5 2 2 5 3 3" xfId="5474" xr:uid="{00000000-0005-0000-0000-0000120C0000}"/>
    <cellStyle name="Currency 5 2 2 5 3 3 2" xfId="13924" xr:uid="{8490E08B-BCDA-4D08-892E-C137D5979911}"/>
    <cellStyle name="Currency 5 2 2 5 3 4" xfId="9706" xr:uid="{6E2DE182-A879-43FE-B100-81B116C8DC83}"/>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2 2 2" xfId="16482" xr:uid="{E849DE1E-A1BD-4A18-B526-FB920B911675}"/>
    <cellStyle name="Currency 5 2 2 5 4 2 3" xfId="12264" xr:uid="{24773848-73EC-46BA-814D-77C57FEF20B1}"/>
    <cellStyle name="Currency 5 2 2 5 4 3" xfId="5887" xr:uid="{00000000-0005-0000-0000-0000160C0000}"/>
    <cellStyle name="Currency 5 2 2 5 4 3 2" xfId="14337" xr:uid="{866803C2-444D-4B67-9162-2A08A776452C}"/>
    <cellStyle name="Currency 5 2 2 5 4 4" xfId="10119" xr:uid="{FDD861B7-B7F8-4EAB-AB7F-2BE06661900B}"/>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2 2 2" xfId="16895" xr:uid="{4684073B-B456-4294-8D9C-3B461AA6B04E}"/>
    <cellStyle name="Currency 5 2 2 5 5 2 3" xfId="12677" xr:uid="{97882A27-80DD-4356-B84B-AAE1542ADFBD}"/>
    <cellStyle name="Currency 5 2 2 5 5 3" xfId="6300" xr:uid="{00000000-0005-0000-0000-00001A0C0000}"/>
    <cellStyle name="Currency 5 2 2 5 5 3 2" xfId="14750" xr:uid="{99DE422B-D34C-4EB1-AAB1-1D58DDD2A6A7}"/>
    <cellStyle name="Currency 5 2 2 5 5 4" xfId="10532" xr:uid="{51B2400C-0C44-4E8D-939B-1A9DF1C39191}"/>
    <cellStyle name="Currency 5 2 2 5 6" xfId="2429" xr:uid="{00000000-0005-0000-0000-00001B0C0000}"/>
    <cellStyle name="Currency 5 2 2 5 6 2" xfId="6713" xr:uid="{00000000-0005-0000-0000-00001C0C0000}"/>
    <cellStyle name="Currency 5 2 2 5 6 2 2" xfId="15163" xr:uid="{5B7AE063-A7E4-4072-8A3A-33A370FE55F7}"/>
    <cellStyle name="Currency 5 2 2 5 6 3" xfId="10945" xr:uid="{74E47A03-9135-4355-A2D1-AE8A0A914E5E}"/>
    <cellStyle name="Currency 5 2 2 5 7" xfId="2726" xr:uid="{00000000-0005-0000-0000-00001D0C0000}"/>
    <cellStyle name="Currency 5 2 2 5 8" xfId="2807" xr:uid="{00000000-0005-0000-0000-00001E0C0000}"/>
    <cellStyle name="Currency 5 2 2 5 8 2" xfId="7030" xr:uid="{00000000-0005-0000-0000-00001F0C0000}"/>
    <cellStyle name="Currency 5 2 2 5 8 2 2" xfId="15480" xr:uid="{75291105-BBF5-472E-B128-0C566FC394A8}"/>
    <cellStyle name="Currency 5 2 2 5 8 3" xfId="11262" xr:uid="{AE27A105-A673-4D9E-A2D2-ADFA3A142453}"/>
    <cellStyle name="Currency 5 2 2 5 9" xfId="4647" xr:uid="{00000000-0005-0000-0000-0000200C0000}"/>
    <cellStyle name="Currency 5 2 2 5 9 2" xfId="13097" xr:uid="{931DFD0D-F503-4E52-BE9E-7D221D038D62}"/>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10 2" xfId="13098" xr:uid="{AA984E3A-29FD-43E0-921A-404AFF6EC5D8}"/>
    <cellStyle name="Currency 5 2 4 11" xfId="8880" xr:uid="{910434EB-0E9C-4254-B979-0D316C6A92D4}"/>
    <cellStyle name="Currency 5 2 4 2" xfId="206" xr:uid="{00000000-0005-0000-0000-0000250C0000}"/>
    <cellStyle name="Currency 5 2 4 2 10" xfId="8881" xr:uid="{EFAE5F77-E03F-4043-AFC5-0FA2E95DF8FA}"/>
    <cellStyle name="Currency 5 2 4 2 2" xfId="733" xr:uid="{00000000-0005-0000-0000-0000260C0000}"/>
    <cellStyle name="Currency 5 2 4 2 2 2" xfId="2986" xr:uid="{00000000-0005-0000-0000-0000270C0000}"/>
    <cellStyle name="Currency 5 2 4 2 2 2 2" xfId="7208" xr:uid="{00000000-0005-0000-0000-0000280C0000}"/>
    <cellStyle name="Currency 5 2 4 2 2 2 2 2" xfId="15658" xr:uid="{19BD66FC-DF54-4308-AB0F-E809C3F1091C}"/>
    <cellStyle name="Currency 5 2 4 2 2 2 3" xfId="11440" xr:uid="{B689B221-4C76-4F29-8475-4002985BA974}"/>
    <cellStyle name="Currency 5 2 4 2 2 3" xfId="5063" xr:uid="{00000000-0005-0000-0000-0000290C0000}"/>
    <cellStyle name="Currency 5 2 4 2 2 3 2" xfId="13513" xr:uid="{B7337565-BCC6-421B-BADA-DE4BCE169510}"/>
    <cellStyle name="Currency 5 2 4 2 2 4" xfId="9295" xr:uid="{27B8505B-2D7C-4964-B6E2-3BBB40B578E3}"/>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2 2 2" xfId="16071" xr:uid="{782FD2C9-404D-452A-96E7-969A63809C25}"/>
    <cellStyle name="Currency 5 2 4 2 3 2 3" xfId="11853" xr:uid="{23065CB4-6F21-465E-A536-48E733EE77D2}"/>
    <cellStyle name="Currency 5 2 4 2 3 3" xfId="5476" xr:uid="{00000000-0005-0000-0000-00002D0C0000}"/>
    <cellStyle name="Currency 5 2 4 2 3 3 2" xfId="13926" xr:uid="{5E06A578-FC5B-42EB-A963-23C8D55090F2}"/>
    <cellStyle name="Currency 5 2 4 2 3 4" xfId="9708" xr:uid="{24C8CDBB-9479-422B-9718-9C144307734C}"/>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2 2 2" xfId="16484" xr:uid="{249465AC-96F0-4EEC-A287-5852789E6DE5}"/>
    <cellStyle name="Currency 5 2 4 2 4 2 3" xfId="12266" xr:uid="{CC7ECD5D-C9FB-446E-B9A2-45FB2BD52FA3}"/>
    <cellStyle name="Currency 5 2 4 2 4 3" xfId="5889" xr:uid="{00000000-0005-0000-0000-0000310C0000}"/>
    <cellStyle name="Currency 5 2 4 2 4 3 2" xfId="14339" xr:uid="{D3795A3B-8C8B-42E3-A0D9-7C3F2EB554EF}"/>
    <cellStyle name="Currency 5 2 4 2 4 4" xfId="10121" xr:uid="{61817B5E-5BC4-4491-A009-355C45CB64CF}"/>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2 2 2" xfId="16897" xr:uid="{FBDF2775-63C7-4F7E-A94F-59429B3295B0}"/>
    <cellStyle name="Currency 5 2 4 2 5 2 3" xfId="12679" xr:uid="{8F7BE3D4-AB8A-4736-837A-4FF51716428A}"/>
    <cellStyle name="Currency 5 2 4 2 5 3" xfId="6302" xr:uid="{00000000-0005-0000-0000-0000350C0000}"/>
    <cellStyle name="Currency 5 2 4 2 5 3 2" xfId="14752" xr:uid="{E5FB43EC-1BB7-4901-A0C6-F5FBF1D42E13}"/>
    <cellStyle name="Currency 5 2 4 2 5 4" xfId="10534" xr:uid="{BC02273F-84EE-46D9-BF19-78424579DD14}"/>
    <cellStyle name="Currency 5 2 4 2 6" xfId="2431" xr:uid="{00000000-0005-0000-0000-0000360C0000}"/>
    <cellStyle name="Currency 5 2 4 2 6 2" xfId="6715" xr:uid="{00000000-0005-0000-0000-0000370C0000}"/>
    <cellStyle name="Currency 5 2 4 2 6 2 2" xfId="15165" xr:uid="{99488F3B-CA78-4241-B331-33EB1CF91ABC}"/>
    <cellStyle name="Currency 5 2 4 2 6 3" xfId="10947" xr:uid="{45451CCF-2A1C-4DE7-8661-9E657E4BFBA0}"/>
    <cellStyle name="Currency 5 2 4 2 7" xfId="2728" xr:uid="{00000000-0005-0000-0000-0000380C0000}"/>
    <cellStyle name="Currency 5 2 4 2 8" xfId="2809" xr:uid="{00000000-0005-0000-0000-0000390C0000}"/>
    <cellStyle name="Currency 5 2 4 2 8 2" xfId="7032" xr:uid="{00000000-0005-0000-0000-00003A0C0000}"/>
    <cellStyle name="Currency 5 2 4 2 8 2 2" xfId="15482" xr:uid="{6195C378-D218-4F43-8A7C-D2668CF68C59}"/>
    <cellStyle name="Currency 5 2 4 2 8 3" xfId="11264" xr:uid="{61D7878A-224F-4440-8032-952C26C07181}"/>
    <cellStyle name="Currency 5 2 4 2 9" xfId="4649" xr:uid="{00000000-0005-0000-0000-00003B0C0000}"/>
    <cellStyle name="Currency 5 2 4 2 9 2" xfId="13099" xr:uid="{ABB3F891-28AE-4D9E-8D65-BBA4DC5E1F80}"/>
    <cellStyle name="Currency 5 2 4 3" xfId="732" xr:uid="{00000000-0005-0000-0000-00003C0C0000}"/>
    <cellStyle name="Currency 5 2 4 3 2" xfId="2985" xr:uid="{00000000-0005-0000-0000-00003D0C0000}"/>
    <cellStyle name="Currency 5 2 4 3 2 2" xfId="7207" xr:uid="{00000000-0005-0000-0000-00003E0C0000}"/>
    <cellStyle name="Currency 5 2 4 3 2 2 2" xfId="15657" xr:uid="{933B1847-3BB0-49A2-B625-C689E2F4235F}"/>
    <cellStyle name="Currency 5 2 4 3 2 3" xfId="11439" xr:uid="{1FC7A879-7344-473F-95F9-ED6CD07C81F2}"/>
    <cellStyle name="Currency 5 2 4 3 3" xfId="5062" xr:uid="{00000000-0005-0000-0000-00003F0C0000}"/>
    <cellStyle name="Currency 5 2 4 3 3 2" xfId="13512" xr:uid="{5CB8E692-54A4-46F9-B211-AED958EE7AA6}"/>
    <cellStyle name="Currency 5 2 4 3 4" xfId="9294" xr:uid="{3CEA88BA-B99B-4BE5-93DE-5EC08E5B4C14}"/>
    <cellStyle name="Currency 5 2 4 4" xfId="1167" xr:uid="{00000000-0005-0000-0000-0000400C0000}"/>
    <cellStyle name="Currency 5 2 4 4 2" xfId="3398" xr:uid="{00000000-0005-0000-0000-0000410C0000}"/>
    <cellStyle name="Currency 5 2 4 4 2 2" xfId="7620" xr:uid="{00000000-0005-0000-0000-0000420C0000}"/>
    <cellStyle name="Currency 5 2 4 4 2 2 2" xfId="16070" xr:uid="{DB161273-F9F7-4187-AE56-087B32086820}"/>
    <cellStyle name="Currency 5 2 4 4 2 3" xfId="11852" xr:uid="{5EA047CB-A148-4770-BA90-E36968E97BA8}"/>
    <cellStyle name="Currency 5 2 4 4 3" xfId="5475" xr:uid="{00000000-0005-0000-0000-0000430C0000}"/>
    <cellStyle name="Currency 5 2 4 4 3 2" xfId="13925" xr:uid="{009AF535-0442-4D39-8FFE-6856BC60FF32}"/>
    <cellStyle name="Currency 5 2 4 4 4" xfId="9707" xr:uid="{5BD7761F-8D8A-4B21-BE90-8B138B7DEB22}"/>
    <cellStyle name="Currency 5 2 4 5" xfId="1581" xr:uid="{00000000-0005-0000-0000-0000440C0000}"/>
    <cellStyle name="Currency 5 2 4 5 2" xfId="3811" xr:uid="{00000000-0005-0000-0000-0000450C0000}"/>
    <cellStyle name="Currency 5 2 4 5 2 2" xfId="8033" xr:uid="{00000000-0005-0000-0000-0000460C0000}"/>
    <cellStyle name="Currency 5 2 4 5 2 2 2" xfId="16483" xr:uid="{DB0F2CD5-2BD9-4A8F-A342-D291C397BD1C}"/>
    <cellStyle name="Currency 5 2 4 5 2 3" xfId="12265" xr:uid="{BFA613C4-4AD9-47ED-92B1-56CF296364F0}"/>
    <cellStyle name="Currency 5 2 4 5 3" xfId="5888" xr:uid="{00000000-0005-0000-0000-0000470C0000}"/>
    <cellStyle name="Currency 5 2 4 5 3 2" xfId="14338" xr:uid="{6AA53D69-F4EC-49C8-9593-1D4DE1997FEF}"/>
    <cellStyle name="Currency 5 2 4 5 4" xfId="10120" xr:uid="{37488510-7011-4B16-94BE-64E68328800F}"/>
    <cellStyle name="Currency 5 2 4 6" xfId="1995" xr:uid="{00000000-0005-0000-0000-0000480C0000}"/>
    <cellStyle name="Currency 5 2 4 6 2" xfId="4224" xr:uid="{00000000-0005-0000-0000-0000490C0000}"/>
    <cellStyle name="Currency 5 2 4 6 2 2" xfId="8446" xr:uid="{00000000-0005-0000-0000-00004A0C0000}"/>
    <cellStyle name="Currency 5 2 4 6 2 2 2" xfId="16896" xr:uid="{F0D09546-87F9-4CF5-A036-16DB81906521}"/>
    <cellStyle name="Currency 5 2 4 6 2 3" xfId="12678" xr:uid="{662A79D5-1E64-45B2-A87F-A29F81CA4CDF}"/>
    <cellStyle name="Currency 5 2 4 6 3" xfId="6301" xr:uid="{00000000-0005-0000-0000-00004B0C0000}"/>
    <cellStyle name="Currency 5 2 4 6 3 2" xfId="14751" xr:uid="{1B211F65-4C29-42FC-BB89-A9E1071EB49F}"/>
    <cellStyle name="Currency 5 2 4 6 4" xfId="10533" xr:uid="{5AD50E86-E8E4-4B15-B088-8C2D57E23F45}"/>
    <cellStyle name="Currency 5 2 4 7" xfId="2430" xr:uid="{00000000-0005-0000-0000-00004C0C0000}"/>
    <cellStyle name="Currency 5 2 4 7 2" xfId="6714" xr:uid="{00000000-0005-0000-0000-00004D0C0000}"/>
    <cellStyle name="Currency 5 2 4 7 2 2" xfId="15164" xr:uid="{D7859658-BDE7-4662-B112-05587501ADBD}"/>
    <cellStyle name="Currency 5 2 4 7 3" xfId="10946" xr:uid="{9B64BA08-9E4F-4BED-9879-9BF476AEA561}"/>
    <cellStyle name="Currency 5 2 4 8" xfId="2727" xr:uid="{00000000-0005-0000-0000-00004E0C0000}"/>
    <cellStyle name="Currency 5 2 4 9" xfId="2808" xr:uid="{00000000-0005-0000-0000-00004F0C0000}"/>
    <cellStyle name="Currency 5 2 4 9 2" xfId="7031" xr:uid="{00000000-0005-0000-0000-0000500C0000}"/>
    <cellStyle name="Currency 5 2 4 9 2 2" xfId="15481" xr:uid="{C3E0E6C6-05BF-4906-8C13-ADBB34072049}"/>
    <cellStyle name="Currency 5 2 4 9 3" xfId="11263" xr:uid="{1251D520-6131-46E3-AC7D-7D34CA143D8A}"/>
    <cellStyle name="Currency 5 2 5" xfId="207" xr:uid="{00000000-0005-0000-0000-0000510C0000}"/>
    <cellStyle name="Currency 5 2 5 10" xfId="8882" xr:uid="{289FF024-54F0-45B1-9342-E208F75217C1}"/>
    <cellStyle name="Currency 5 2 5 2" xfId="734" xr:uid="{00000000-0005-0000-0000-0000520C0000}"/>
    <cellStyle name="Currency 5 2 5 2 2" xfId="2987" xr:uid="{00000000-0005-0000-0000-0000530C0000}"/>
    <cellStyle name="Currency 5 2 5 2 2 2" xfId="7209" xr:uid="{00000000-0005-0000-0000-0000540C0000}"/>
    <cellStyle name="Currency 5 2 5 2 2 2 2" xfId="15659" xr:uid="{1D2215E5-760F-43C6-882E-16A7A6D960CE}"/>
    <cellStyle name="Currency 5 2 5 2 2 3" xfId="11441" xr:uid="{F7FB3935-2DF1-45BC-A262-FF022B77B637}"/>
    <cellStyle name="Currency 5 2 5 2 3" xfId="5064" xr:uid="{00000000-0005-0000-0000-0000550C0000}"/>
    <cellStyle name="Currency 5 2 5 2 3 2" xfId="13514" xr:uid="{EE577B3B-A659-457C-B6E2-7FBE581BD5A3}"/>
    <cellStyle name="Currency 5 2 5 2 4" xfId="9296" xr:uid="{B9C88AF0-E31C-4C7E-8F2B-4D08FDD076BF}"/>
    <cellStyle name="Currency 5 2 5 3" xfId="1169" xr:uid="{00000000-0005-0000-0000-0000560C0000}"/>
    <cellStyle name="Currency 5 2 5 3 2" xfId="3400" xr:uid="{00000000-0005-0000-0000-0000570C0000}"/>
    <cellStyle name="Currency 5 2 5 3 2 2" xfId="7622" xr:uid="{00000000-0005-0000-0000-0000580C0000}"/>
    <cellStyle name="Currency 5 2 5 3 2 2 2" xfId="16072" xr:uid="{AB08934F-F583-4717-A421-1E0365F881F3}"/>
    <cellStyle name="Currency 5 2 5 3 2 3" xfId="11854" xr:uid="{5F7C5B44-5867-4C2F-AC5A-3C9CCE515CB8}"/>
    <cellStyle name="Currency 5 2 5 3 3" xfId="5477" xr:uid="{00000000-0005-0000-0000-0000590C0000}"/>
    <cellStyle name="Currency 5 2 5 3 3 2" xfId="13927" xr:uid="{D963B57A-EC85-434B-BD4D-DC8170FF70F4}"/>
    <cellStyle name="Currency 5 2 5 3 4" xfId="9709" xr:uid="{879B4A9E-18AF-4783-B268-F845AD315D20}"/>
    <cellStyle name="Currency 5 2 5 4" xfId="1583" xr:uid="{00000000-0005-0000-0000-00005A0C0000}"/>
    <cellStyle name="Currency 5 2 5 4 2" xfId="3813" xr:uid="{00000000-0005-0000-0000-00005B0C0000}"/>
    <cellStyle name="Currency 5 2 5 4 2 2" xfId="8035" xr:uid="{00000000-0005-0000-0000-00005C0C0000}"/>
    <cellStyle name="Currency 5 2 5 4 2 2 2" xfId="16485" xr:uid="{66FAB97C-7132-4951-B9C1-50093ACB9CAC}"/>
    <cellStyle name="Currency 5 2 5 4 2 3" xfId="12267" xr:uid="{85D847E9-4508-4CA3-B3D6-9C3D651BB5A3}"/>
    <cellStyle name="Currency 5 2 5 4 3" xfId="5890" xr:uid="{00000000-0005-0000-0000-00005D0C0000}"/>
    <cellStyle name="Currency 5 2 5 4 3 2" xfId="14340" xr:uid="{DE7465B1-20D5-41B1-82D6-91AA032A94BF}"/>
    <cellStyle name="Currency 5 2 5 4 4" xfId="10122" xr:uid="{7ABB6071-7394-4C30-AE14-3357362DCC80}"/>
    <cellStyle name="Currency 5 2 5 5" xfId="1997" xr:uid="{00000000-0005-0000-0000-00005E0C0000}"/>
    <cellStyle name="Currency 5 2 5 5 2" xfId="4226" xr:uid="{00000000-0005-0000-0000-00005F0C0000}"/>
    <cellStyle name="Currency 5 2 5 5 2 2" xfId="8448" xr:uid="{00000000-0005-0000-0000-0000600C0000}"/>
    <cellStyle name="Currency 5 2 5 5 2 2 2" xfId="16898" xr:uid="{1464C5CA-D773-4316-800C-8DE6AAB69930}"/>
    <cellStyle name="Currency 5 2 5 5 2 3" xfId="12680" xr:uid="{10C6E901-5965-46D8-BD4C-A60D39DB962E}"/>
    <cellStyle name="Currency 5 2 5 5 3" xfId="6303" xr:uid="{00000000-0005-0000-0000-0000610C0000}"/>
    <cellStyle name="Currency 5 2 5 5 3 2" xfId="14753" xr:uid="{FAA8E602-A362-4F43-8833-60E933AAE0BB}"/>
    <cellStyle name="Currency 5 2 5 5 4" xfId="10535" xr:uid="{1168A6BC-C9FC-432C-B2A1-231E98B27A41}"/>
    <cellStyle name="Currency 5 2 5 6" xfId="2432" xr:uid="{00000000-0005-0000-0000-0000620C0000}"/>
    <cellStyle name="Currency 5 2 5 6 2" xfId="6716" xr:uid="{00000000-0005-0000-0000-0000630C0000}"/>
    <cellStyle name="Currency 5 2 5 6 2 2" xfId="15166" xr:uid="{E435B172-0D6A-4B82-B8DB-B249CD461CDB}"/>
    <cellStyle name="Currency 5 2 5 6 3" xfId="10948" xr:uid="{FA2EE05D-5F1A-42A1-A442-301EC0B613A7}"/>
    <cellStyle name="Currency 5 2 5 7" xfId="2729" xr:uid="{00000000-0005-0000-0000-0000640C0000}"/>
    <cellStyle name="Currency 5 2 5 8" xfId="2810" xr:uid="{00000000-0005-0000-0000-0000650C0000}"/>
    <cellStyle name="Currency 5 2 5 8 2" xfId="7033" xr:uid="{00000000-0005-0000-0000-0000660C0000}"/>
    <cellStyle name="Currency 5 2 5 8 2 2" xfId="15483" xr:uid="{54C7CE33-0231-46B8-A2DA-E3F05E5DA47B}"/>
    <cellStyle name="Currency 5 2 5 8 3" xfId="11265" xr:uid="{20956BBC-A2DB-4E50-BE7A-07978F514677}"/>
    <cellStyle name="Currency 5 2 5 9" xfId="4650" xr:uid="{00000000-0005-0000-0000-0000670C0000}"/>
    <cellStyle name="Currency 5 2 5 9 2" xfId="13100" xr:uid="{A71F6A35-11BF-4367-A364-78AEE0BDBBD9}"/>
    <cellStyle name="Currency 5 2 6" xfId="208" xr:uid="{00000000-0005-0000-0000-0000680C0000}"/>
    <cellStyle name="Currency 5 2 6 10" xfId="8883" xr:uid="{9000386F-D200-4935-A08F-473A80AF5E3B}"/>
    <cellStyle name="Currency 5 2 6 2" xfId="735" xr:uid="{00000000-0005-0000-0000-0000690C0000}"/>
    <cellStyle name="Currency 5 2 6 2 2" xfId="2988" xr:uid="{00000000-0005-0000-0000-00006A0C0000}"/>
    <cellStyle name="Currency 5 2 6 2 2 2" xfId="7210" xr:uid="{00000000-0005-0000-0000-00006B0C0000}"/>
    <cellStyle name="Currency 5 2 6 2 2 2 2" xfId="15660" xr:uid="{5C929830-8182-45DD-BA17-0C7DF2A79BBE}"/>
    <cellStyle name="Currency 5 2 6 2 2 3" xfId="11442" xr:uid="{AD3FE1AD-4B2F-4B4E-97C8-E7EE205361BC}"/>
    <cellStyle name="Currency 5 2 6 2 3" xfId="5065" xr:uid="{00000000-0005-0000-0000-00006C0C0000}"/>
    <cellStyle name="Currency 5 2 6 2 3 2" xfId="13515" xr:uid="{7129A328-CF2C-442A-8C7E-7FB90589FB10}"/>
    <cellStyle name="Currency 5 2 6 2 4" xfId="9297" xr:uid="{B3A161B1-B099-405B-BC91-9411E7557096}"/>
    <cellStyle name="Currency 5 2 6 3" xfId="1170" xr:uid="{00000000-0005-0000-0000-00006D0C0000}"/>
    <cellStyle name="Currency 5 2 6 3 2" xfId="3401" xr:uid="{00000000-0005-0000-0000-00006E0C0000}"/>
    <cellStyle name="Currency 5 2 6 3 2 2" xfId="7623" xr:uid="{00000000-0005-0000-0000-00006F0C0000}"/>
    <cellStyle name="Currency 5 2 6 3 2 2 2" xfId="16073" xr:uid="{39E90226-A52A-4471-A16E-B49961E78E36}"/>
    <cellStyle name="Currency 5 2 6 3 2 3" xfId="11855" xr:uid="{922B5CE8-9022-4A60-B30A-8C8758A928D2}"/>
    <cellStyle name="Currency 5 2 6 3 3" xfId="5478" xr:uid="{00000000-0005-0000-0000-0000700C0000}"/>
    <cellStyle name="Currency 5 2 6 3 3 2" xfId="13928" xr:uid="{C6CB93CE-8458-43AC-AEB1-80172FC2F8C0}"/>
    <cellStyle name="Currency 5 2 6 3 4" xfId="9710" xr:uid="{03A9AB64-09F2-4630-98EC-B525A09F0049}"/>
    <cellStyle name="Currency 5 2 6 4" xfId="1584" xr:uid="{00000000-0005-0000-0000-0000710C0000}"/>
    <cellStyle name="Currency 5 2 6 4 2" xfId="3814" xr:uid="{00000000-0005-0000-0000-0000720C0000}"/>
    <cellStyle name="Currency 5 2 6 4 2 2" xfId="8036" xr:uid="{00000000-0005-0000-0000-0000730C0000}"/>
    <cellStyle name="Currency 5 2 6 4 2 2 2" xfId="16486" xr:uid="{A60A06E3-ED30-4A0E-9E8B-36D1EE72666F}"/>
    <cellStyle name="Currency 5 2 6 4 2 3" xfId="12268" xr:uid="{3FF56898-9945-4C33-A3E2-3037E1E25938}"/>
    <cellStyle name="Currency 5 2 6 4 3" xfId="5891" xr:uid="{00000000-0005-0000-0000-0000740C0000}"/>
    <cellStyle name="Currency 5 2 6 4 3 2" xfId="14341" xr:uid="{988D31BD-EAC9-4EFA-AF7D-87F5276A14B4}"/>
    <cellStyle name="Currency 5 2 6 4 4" xfId="10123" xr:uid="{1AEEE6B3-97FF-410B-9DA8-F9424583C171}"/>
    <cellStyle name="Currency 5 2 6 5" xfId="1998" xr:uid="{00000000-0005-0000-0000-0000750C0000}"/>
    <cellStyle name="Currency 5 2 6 5 2" xfId="4227" xr:uid="{00000000-0005-0000-0000-0000760C0000}"/>
    <cellStyle name="Currency 5 2 6 5 2 2" xfId="8449" xr:uid="{00000000-0005-0000-0000-0000770C0000}"/>
    <cellStyle name="Currency 5 2 6 5 2 2 2" xfId="16899" xr:uid="{4BBA5CA1-7239-45EA-85D5-FF2423FEA86D}"/>
    <cellStyle name="Currency 5 2 6 5 2 3" xfId="12681" xr:uid="{8948AA70-6396-4493-9AD4-052C49FAC7D3}"/>
    <cellStyle name="Currency 5 2 6 5 3" xfId="6304" xr:uid="{00000000-0005-0000-0000-0000780C0000}"/>
    <cellStyle name="Currency 5 2 6 5 3 2" xfId="14754" xr:uid="{461A8274-C504-4AA1-B192-89E2B454F582}"/>
    <cellStyle name="Currency 5 2 6 5 4" xfId="10536" xr:uid="{D87F8E8D-94F2-466A-AD48-A2ADD19A6578}"/>
    <cellStyle name="Currency 5 2 6 6" xfId="2433" xr:uid="{00000000-0005-0000-0000-0000790C0000}"/>
    <cellStyle name="Currency 5 2 6 6 2" xfId="6717" xr:uid="{00000000-0005-0000-0000-00007A0C0000}"/>
    <cellStyle name="Currency 5 2 6 6 2 2" xfId="15167" xr:uid="{62D49E0D-743D-4554-90DF-59E0FE69CDF0}"/>
    <cellStyle name="Currency 5 2 6 6 3" xfId="10949" xr:uid="{D430D843-F01D-4B0B-8BC6-E5AF6CA10BAA}"/>
    <cellStyle name="Currency 5 2 6 7" xfId="2730" xr:uid="{00000000-0005-0000-0000-00007B0C0000}"/>
    <cellStyle name="Currency 5 2 6 8" xfId="2811" xr:uid="{00000000-0005-0000-0000-00007C0C0000}"/>
    <cellStyle name="Currency 5 2 6 8 2" xfId="7034" xr:uid="{00000000-0005-0000-0000-00007D0C0000}"/>
    <cellStyle name="Currency 5 2 6 8 2 2" xfId="15484" xr:uid="{9A98E913-1ECD-4CA6-9827-B392A63ED6AE}"/>
    <cellStyle name="Currency 5 2 6 8 3" xfId="11266" xr:uid="{161C5959-1149-4F04-88BF-F28F4F59451A}"/>
    <cellStyle name="Currency 5 2 6 9" xfId="4651" xr:uid="{00000000-0005-0000-0000-00007E0C0000}"/>
    <cellStyle name="Currency 5 2 6 9 2" xfId="13101" xr:uid="{AD9401C6-33FD-4394-A6FA-AF038C9FDE49}"/>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0 2 2" xfId="15485" xr:uid="{6E7CB1AF-A591-485B-9CB2-E622E0789ACF}"/>
    <cellStyle name="Currency 5 3 2 10 3" xfId="11267" xr:uid="{1E84729E-4B96-4995-8C4A-F15D6540EBCC}"/>
    <cellStyle name="Currency 5 3 2 11" xfId="4652" xr:uid="{00000000-0005-0000-0000-0000840C0000}"/>
    <cellStyle name="Currency 5 3 2 11 2" xfId="13102" xr:uid="{C9DCBF10-7779-425C-85A1-F2C7561E8266}"/>
    <cellStyle name="Currency 5 3 2 12" xfId="8884" xr:uid="{62F383CC-9D22-462B-B834-806E90ADBB09}"/>
    <cellStyle name="Currency 5 3 2 2" xfId="211" xr:uid="{00000000-0005-0000-0000-0000850C0000}"/>
    <cellStyle name="Currency 5 3 2 2 10" xfId="4653" xr:uid="{00000000-0005-0000-0000-0000860C0000}"/>
    <cellStyle name="Currency 5 3 2 2 10 2" xfId="13103" xr:uid="{2A27AC7D-61E3-492F-8FE7-10AEFDCDDD3B}"/>
    <cellStyle name="Currency 5 3 2 2 11" xfId="8885" xr:uid="{AD7D2712-21E6-4343-8C63-147BC53FB81C}"/>
    <cellStyle name="Currency 5 3 2 2 2" xfId="212" xr:uid="{00000000-0005-0000-0000-0000870C0000}"/>
    <cellStyle name="Currency 5 3 2 2 2 10" xfId="8886" xr:uid="{13600F94-4B91-4B62-9EE3-54D15F505105}"/>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2 2 2" xfId="15663" xr:uid="{2CA328B3-E4CE-486C-80B2-53F0237F7F14}"/>
    <cellStyle name="Currency 5 3 2 2 2 2 2 3" xfId="11445" xr:uid="{7A1DAB8A-97CD-4783-A0C0-AB1141A05339}"/>
    <cellStyle name="Currency 5 3 2 2 2 2 3" xfId="5068" xr:uid="{00000000-0005-0000-0000-00008B0C0000}"/>
    <cellStyle name="Currency 5 3 2 2 2 2 3 2" xfId="13518" xr:uid="{DE9507AA-A569-4E56-A5F3-5CD502712CE4}"/>
    <cellStyle name="Currency 5 3 2 2 2 2 4" xfId="9300" xr:uid="{9746C11B-C96B-47FA-9168-FE3E138A845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2 2 2" xfId="16076" xr:uid="{06B7B4B7-146C-4C71-B52B-3F14B4BCDBE0}"/>
    <cellStyle name="Currency 5 3 2 2 2 3 2 3" xfId="11858" xr:uid="{1E10AE8A-933A-4B27-B498-86633B764CE8}"/>
    <cellStyle name="Currency 5 3 2 2 2 3 3" xfId="5481" xr:uid="{00000000-0005-0000-0000-00008F0C0000}"/>
    <cellStyle name="Currency 5 3 2 2 2 3 3 2" xfId="13931" xr:uid="{90E6096F-789D-4D85-90F9-F6DAE7E00616}"/>
    <cellStyle name="Currency 5 3 2 2 2 3 4" xfId="9713" xr:uid="{8A435614-2755-4105-AC0A-4ED0BAF8E90A}"/>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2 2 2" xfId="16489" xr:uid="{B0C9AA9D-18C4-4796-B1E7-EBDBF81FD905}"/>
    <cellStyle name="Currency 5 3 2 2 2 4 2 3" xfId="12271" xr:uid="{ECB6A50C-6D41-4030-913C-FC01ED0DD66F}"/>
    <cellStyle name="Currency 5 3 2 2 2 4 3" xfId="5894" xr:uid="{00000000-0005-0000-0000-0000930C0000}"/>
    <cellStyle name="Currency 5 3 2 2 2 4 3 2" xfId="14344" xr:uid="{3EA5547B-47BE-4A70-8649-6DB743B05CF6}"/>
    <cellStyle name="Currency 5 3 2 2 2 4 4" xfId="10126" xr:uid="{3B9772EC-907A-4D55-B764-9BC2C27375EA}"/>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2 2 2" xfId="16902" xr:uid="{74BE174E-A251-487A-A7A6-5831852070DE}"/>
    <cellStyle name="Currency 5 3 2 2 2 5 2 3" xfId="12684" xr:uid="{10A59034-8E66-471D-992C-E43FF0F91F6B}"/>
    <cellStyle name="Currency 5 3 2 2 2 5 3" xfId="6307" xr:uid="{00000000-0005-0000-0000-0000970C0000}"/>
    <cellStyle name="Currency 5 3 2 2 2 5 3 2" xfId="14757" xr:uid="{FF05D769-35EE-4C7E-8BDB-ED743E113FB5}"/>
    <cellStyle name="Currency 5 3 2 2 2 5 4" xfId="10539" xr:uid="{5AFED41E-C85D-4A4B-803F-6FD95C9A5BCA}"/>
    <cellStyle name="Currency 5 3 2 2 2 6" xfId="2436" xr:uid="{00000000-0005-0000-0000-0000980C0000}"/>
    <cellStyle name="Currency 5 3 2 2 2 6 2" xfId="6720" xr:uid="{00000000-0005-0000-0000-0000990C0000}"/>
    <cellStyle name="Currency 5 3 2 2 2 6 2 2" xfId="15170" xr:uid="{A0C5AD2E-9DCD-4802-AFB0-48C086DC5663}"/>
    <cellStyle name="Currency 5 3 2 2 2 6 3" xfId="10952" xr:uid="{61D39AB1-6729-43DC-B26A-4726689E7FF2}"/>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8 2 2" xfId="15487" xr:uid="{E0E1274D-AF28-4680-856C-E69C1AB44CF9}"/>
    <cellStyle name="Currency 5 3 2 2 2 8 3" xfId="11269" xr:uid="{2A7A7D86-A635-4A67-B5E6-3887A7DF8B71}"/>
    <cellStyle name="Currency 5 3 2 2 2 9" xfId="4654" xr:uid="{00000000-0005-0000-0000-00009D0C0000}"/>
    <cellStyle name="Currency 5 3 2 2 2 9 2" xfId="13104" xr:uid="{E4E0E338-5245-49BB-92A2-D2C5809F829C}"/>
    <cellStyle name="Currency 5 3 2 2 3" xfId="737" xr:uid="{00000000-0005-0000-0000-00009E0C0000}"/>
    <cellStyle name="Currency 5 3 2 2 3 2" xfId="2990" xr:uid="{00000000-0005-0000-0000-00009F0C0000}"/>
    <cellStyle name="Currency 5 3 2 2 3 2 2" xfId="7212" xr:uid="{00000000-0005-0000-0000-0000A00C0000}"/>
    <cellStyle name="Currency 5 3 2 2 3 2 2 2" xfId="15662" xr:uid="{E7349E15-10C6-4BF9-B4C9-3E38C524B47C}"/>
    <cellStyle name="Currency 5 3 2 2 3 2 3" xfId="11444" xr:uid="{80EEFD37-6A5C-40FC-9D16-C312A5239718}"/>
    <cellStyle name="Currency 5 3 2 2 3 3" xfId="5067" xr:uid="{00000000-0005-0000-0000-0000A10C0000}"/>
    <cellStyle name="Currency 5 3 2 2 3 3 2" xfId="13517" xr:uid="{5D585018-CC68-46FA-8BB2-94D690D6BB27}"/>
    <cellStyle name="Currency 5 3 2 2 3 4" xfId="9299" xr:uid="{645FCDA7-6C40-400C-BE6E-4B690AF66D4C}"/>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2 2 2" xfId="16075" xr:uid="{E030A640-C172-4939-B834-74DDAB8A2720}"/>
    <cellStyle name="Currency 5 3 2 2 4 2 3" xfId="11857" xr:uid="{2B3A52F0-7F99-473E-BB35-997B1EC7BA85}"/>
    <cellStyle name="Currency 5 3 2 2 4 3" xfId="5480" xr:uid="{00000000-0005-0000-0000-0000A50C0000}"/>
    <cellStyle name="Currency 5 3 2 2 4 3 2" xfId="13930" xr:uid="{1615BC01-05B7-4939-9BEA-F34B921A661E}"/>
    <cellStyle name="Currency 5 3 2 2 4 4" xfId="9712" xr:uid="{1B79DF3F-C42E-413A-8DC8-5C1247E40711}"/>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2 2 2" xfId="16488" xr:uid="{CEBED468-45F0-4CEB-8181-6B7E19EB387F}"/>
    <cellStyle name="Currency 5 3 2 2 5 2 3" xfId="12270" xr:uid="{24F3BA74-4A34-41DB-9D3E-746496D0A282}"/>
    <cellStyle name="Currency 5 3 2 2 5 3" xfId="5893" xr:uid="{00000000-0005-0000-0000-0000A90C0000}"/>
    <cellStyle name="Currency 5 3 2 2 5 3 2" xfId="14343" xr:uid="{622CE3EE-3BD8-4C47-AA9E-28F7ECE018A2}"/>
    <cellStyle name="Currency 5 3 2 2 5 4" xfId="10125" xr:uid="{21C0B3EE-114F-4F56-959B-8C2239A31506}"/>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2 2 2" xfId="16901" xr:uid="{8715E859-6A63-4997-B838-4254C2D26201}"/>
    <cellStyle name="Currency 5 3 2 2 6 2 3" xfId="12683" xr:uid="{0995FD95-B5C7-4D6D-A4BC-CB04CF39A066}"/>
    <cellStyle name="Currency 5 3 2 2 6 3" xfId="6306" xr:uid="{00000000-0005-0000-0000-0000AD0C0000}"/>
    <cellStyle name="Currency 5 3 2 2 6 3 2" xfId="14756" xr:uid="{38F811EA-AA99-42CD-B88A-7BE1AD65F6D2}"/>
    <cellStyle name="Currency 5 3 2 2 6 4" xfId="10538" xr:uid="{A3E2EEAC-B61C-4C6F-93DD-08CBE8CFFEBC}"/>
    <cellStyle name="Currency 5 3 2 2 7" xfId="2435" xr:uid="{00000000-0005-0000-0000-0000AE0C0000}"/>
    <cellStyle name="Currency 5 3 2 2 7 2" xfId="6719" xr:uid="{00000000-0005-0000-0000-0000AF0C0000}"/>
    <cellStyle name="Currency 5 3 2 2 7 2 2" xfId="15169" xr:uid="{15F25B70-A47F-4193-AA48-A88826FFBD8C}"/>
    <cellStyle name="Currency 5 3 2 2 7 3" xfId="10951" xr:uid="{C5C7BBF0-567D-4C1C-9ABF-F7BC0F7119E7}"/>
    <cellStyle name="Currency 5 3 2 2 8" xfId="2732" xr:uid="{00000000-0005-0000-0000-0000B00C0000}"/>
    <cellStyle name="Currency 5 3 2 2 9" xfId="2813" xr:uid="{00000000-0005-0000-0000-0000B10C0000}"/>
    <cellStyle name="Currency 5 3 2 2 9 2" xfId="7036" xr:uid="{00000000-0005-0000-0000-0000B20C0000}"/>
    <cellStyle name="Currency 5 3 2 2 9 2 2" xfId="15486" xr:uid="{48CE8137-7FA8-4AE9-BE17-BF8543743590}"/>
    <cellStyle name="Currency 5 3 2 2 9 3" xfId="11268" xr:uid="{6F73A275-BBD3-4E2A-9FCD-6814447E2A62}"/>
    <cellStyle name="Currency 5 3 2 3" xfId="213" xr:uid="{00000000-0005-0000-0000-0000B30C0000}"/>
    <cellStyle name="Currency 5 3 2 3 10" xfId="8887" xr:uid="{7D542711-CAC3-48A7-8D9A-0062B5CB6829}"/>
    <cellStyle name="Currency 5 3 2 3 2" xfId="739" xr:uid="{00000000-0005-0000-0000-0000B40C0000}"/>
    <cellStyle name="Currency 5 3 2 3 2 2" xfId="2992" xr:uid="{00000000-0005-0000-0000-0000B50C0000}"/>
    <cellStyle name="Currency 5 3 2 3 2 2 2" xfId="7214" xr:uid="{00000000-0005-0000-0000-0000B60C0000}"/>
    <cellStyle name="Currency 5 3 2 3 2 2 2 2" xfId="15664" xr:uid="{74BF59BD-6557-4DD6-8523-EEDACC80A0B2}"/>
    <cellStyle name="Currency 5 3 2 3 2 2 3" xfId="11446" xr:uid="{27CE5A61-68A4-4633-B40D-38B080F4CE22}"/>
    <cellStyle name="Currency 5 3 2 3 2 3" xfId="5069" xr:uid="{00000000-0005-0000-0000-0000B70C0000}"/>
    <cellStyle name="Currency 5 3 2 3 2 3 2" xfId="13519" xr:uid="{45529BDB-F46B-446D-BEB7-995F13B0232D}"/>
    <cellStyle name="Currency 5 3 2 3 2 4" xfId="9301" xr:uid="{6987B198-EAB3-4269-AD65-E25974F47BE6}"/>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2 2 2" xfId="16077" xr:uid="{65897CBC-8CE4-496F-B6A9-0ACB680481FE}"/>
    <cellStyle name="Currency 5 3 2 3 3 2 3" xfId="11859" xr:uid="{81DC459C-4559-42F4-B34F-3BB213CF5E86}"/>
    <cellStyle name="Currency 5 3 2 3 3 3" xfId="5482" xr:uid="{00000000-0005-0000-0000-0000BB0C0000}"/>
    <cellStyle name="Currency 5 3 2 3 3 3 2" xfId="13932" xr:uid="{FD6576EA-A76A-468D-82EC-8126C699804C}"/>
    <cellStyle name="Currency 5 3 2 3 3 4" xfId="9714" xr:uid="{ED6B0F7F-77AB-444A-B869-B53F64DF0CCA}"/>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2 2 2" xfId="16490" xr:uid="{8E472E7D-D361-4D7C-8F24-D7CA87871470}"/>
    <cellStyle name="Currency 5 3 2 3 4 2 3" xfId="12272" xr:uid="{4F11042A-65D1-4208-8033-872D985A04DD}"/>
    <cellStyle name="Currency 5 3 2 3 4 3" xfId="5895" xr:uid="{00000000-0005-0000-0000-0000BF0C0000}"/>
    <cellStyle name="Currency 5 3 2 3 4 3 2" xfId="14345" xr:uid="{F015E0E9-AB7B-419B-9B07-F1634235E18B}"/>
    <cellStyle name="Currency 5 3 2 3 4 4" xfId="10127" xr:uid="{6886FA86-6F20-4B87-98F7-94187347332F}"/>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2 2 2" xfId="16903" xr:uid="{6271ACD0-F554-4FB7-B35E-68DB61E02160}"/>
    <cellStyle name="Currency 5 3 2 3 5 2 3" xfId="12685" xr:uid="{2131B935-EB97-4D55-BD1C-B4EC8AFBA3E6}"/>
    <cellStyle name="Currency 5 3 2 3 5 3" xfId="6308" xr:uid="{00000000-0005-0000-0000-0000C30C0000}"/>
    <cellStyle name="Currency 5 3 2 3 5 3 2" xfId="14758" xr:uid="{6553A7D8-AD25-401D-A2E5-79AFADA5D625}"/>
    <cellStyle name="Currency 5 3 2 3 5 4" xfId="10540" xr:uid="{911FD3BD-B813-4688-9E8B-A898874BC03B}"/>
    <cellStyle name="Currency 5 3 2 3 6" xfId="2437" xr:uid="{00000000-0005-0000-0000-0000C40C0000}"/>
    <cellStyle name="Currency 5 3 2 3 6 2" xfId="6721" xr:uid="{00000000-0005-0000-0000-0000C50C0000}"/>
    <cellStyle name="Currency 5 3 2 3 6 2 2" xfId="15171" xr:uid="{CC34A9DC-F0A9-465A-B026-69556999DE52}"/>
    <cellStyle name="Currency 5 3 2 3 6 3" xfId="10953" xr:uid="{C44AF69C-2536-4EAA-8647-2C54F264133A}"/>
    <cellStyle name="Currency 5 3 2 3 7" xfId="2734" xr:uid="{00000000-0005-0000-0000-0000C60C0000}"/>
    <cellStyle name="Currency 5 3 2 3 8" xfId="2815" xr:uid="{00000000-0005-0000-0000-0000C70C0000}"/>
    <cellStyle name="Currency 5 3 2 3 8 2" xfId="7038" xr:uid="{00000000-0005-0000-0000-0000C80C0000}"/>
    <cellStyle name="Currency 5 3 2 3 8 2 2" xfId="15488" xr:uid="{C3CB83CC-432D-456F-836E-59BA4861139F}"/>
    <cellStyle name="Currency 5 3 2 3 8 3" xfId="11270" xr:uid="{CEE16F09-72BD-4A0F-BE74-9B1645DE248D}"/>
    <cellStyle name="Currency 5 3 2 3 9" xfId="4655" xr:uid="{00000000-0005-0000-0000-0000C90C0000}"/>
    <cellStyle name="Currency 5 3 2 3 9 2" xfId="13105" xr:uid="{6B815328-FFCC-49E7-AA41-253FA5855349}"/>
    <cellStyle name="Currency 5 3 2 4" xfId="736" xr:uid="{00000000-0005-0000-0000-0000CA0C0000}"/>
    <cellStyle name="Currency 5 3 2 4 2" xfId="2989" xr:uid="{00000000-0005-0000-0000-0000CB0C0000}"/>
    <cellStyle name="Currency 5 3 2 4 2 2" xfId="7211" xr:uid="{00000000-0005-0000-0000-0000CC0C0000}"/>
    <cellStyle name="Currency 5 3 2 4 2 2 2" xfId="15661" xr:uid="{D601E6AC-D210-4FB0-BB7E-58A1F2227C8D}"/>
    <cellStyle name="Currency 5 3 2 4 2 3" xfId="11443" xr:uid="{FE0E0EEB-B55F-4B7E-9B25-4FC1BF14696E}"/>
    <cellStyle name="Currency 5 3 2 4 3" xfId="5066" xr:uid="{00000000-0005-0000-0000-0000CD0C0000}"/>
    <cellStyle name="Currency 5 3 2 4 3 2" xfId="13516" xr:uid="{37E08AA3-DD01-4F23-962F-2ACDB14D0835}"/>
    <cellStyle name="Currency 5 3 2 4 4" xfId="9298" xr:uid="{16F82BC6-EBB9-44D9-8203-9349EBB1E1E4}"/>
    <cellStyle name="Currency 5 3 2 5" xfId="1171" xr:uid="{00000000-0005-0000-0000-0000CE0C0000}"/>
    <cellStyle name="Currency 5 3 2 5 2" xfId="3402" xr:uid="{00000000-0005-0000-0000-0000CF0C0000}"/>
    <cellStyle name="Currency 5 3 2 5 2 2" xfId="7624" xr:uid="{00000000-0005-0000-0000-0000D00C0000}"/>
    <cellStyle name="Currency 5 3 2 5 2 2 2" xfId="16074" xr:uid="{492BCBFA-5B8C-46EF-B223-2D965AEF62CB}"/>
    <cellStyle name="Currency 5 3 2 5 2 3" xfId="11856" xr:uid="{88874F04-E6D8-4317-98D4-F7627D83B31D}"/>
    <cellStyle name="Currency 5 3 2 5 3" xfId="5479" xr:uid="{00000000-0005-0000-0000-0000D10C0000}"/>
    <cellStyle name="Currency 5 3 2 5 3 2" xfId="13929" xr:uid="{4F3C9D58-837E-40EC-AF83-18609D69E6A9}"/>
    <cellStyle name="Currency 5 3 2 5 4" xfId="9711" xr:uid="{85AFB4B0-B03F-4661-8AB0-7A8A148CF8D3}"/>
    <cellStyle name="Currency 5 3 2 6" xfId="1585" xr:uid="{00000000-0005-0000-0000-0000D20C0000}"/>
    <cellStyle name="Currency 5 3 2 6 2" xfId="3815" xr:uid="{00000000-0005-0000-0000-0000D30C0000}"/>
    <cellStyle name="Currency 5 3 2 6 2 2" xfId="8037" xr:uid="{00000000-0005-0000-0000-0000D40C0000}"/>
    <cellStyle name="Currency 5 3 2 6 2 2 2" xfId="16487" xr:uid="{29591640-1D80-4597-9753-588F31578035}"/>
    <cellStyle name="Currency 5 3 2 6 2 3" xfId="12269" xr:uid="{92B18BAC-72F5-48DD-B2ED-C295D70E2091}"/>
    <cellStyle name="Currency 5 3 2 6 3" xfId="5892" xr:uid="{00000000-0005-0000-0000-0000D50C0000}"/>
    <cellStyle name="Currency 5 3 2 6 3 2" xfId="14342" xr:uid="{A901F5E0-6D09-4783-86D0-57F69E7D55F0}"/>
    <cellStyle name="Currency 5 3 2 6 4" xfId="10124" xr:uid="{FDB7CD55-4C59-4F99-9E28-FC0C715F64B7}"/>
    <cellStyle name="Currency 5 3 2 7" xfId="1999" xr:uid="{00000000-0005-0000-0000-0000D60C0000}"/>
    <cellStyle name="Currency 5 3 2 7 2" xfId="4228" xr:uid="{00000000-0005-0000-0000-0000D70C0000}"/>
    <cellStyle name="Currency 5 3 2 7 2 2" xfId="8450" xr:uid="{00000000-0005-0000-0000-0000D80C0000}"/>
    <cellStyle name="Currency 5 3 2 7 2 2 2" xfId="16900" xr:uid="{9A1AE045-00F3-4987-BC6E-3F15CEC8E06B}"/>
    <cellStyle name="Currency 5 3 2 7 2 3" xfId="12682" xr:uid="{0BEF0A17-5023-4219-8B0E-0C01C1AE0D6D}"/>
    <cellStyle name="Currency 5 3 2 7 3" xfId="6305" xr:uid="{00000000-0005-0000-0000-0000D90C0000}"/>
    <cellStyle name="Currency 5 3 2 7 3 2" xfId="14755" xr:uid="{89142192-6838-4E0B-99EB-2258651E49D1}"/>
    <cellStyle name="Currency 5 3 2 7 4" xfId="10537" xr:uid="{7144EDAC-B3F4-4FAC-836C-EAB0B0B2124F}"/>
    <cellStyle name="Currency 5 3 2 8" xfId="2434" xr:uid="{00000000-0005-0000-0000-0000DA0C0000}"/>
    <cellStyle name="Currency 5 3 2 8 2" xfId="6718" xr:uid="{00000000-0005-0000-0000-0000DB0C0000}"/>
    <cellStyle name="Currency 5 3 2 8 2 2" xfId="15168" xr:uid="{7072AD72-A9D0-41AC-B30B-3A04564D3513}"/>
    <cellStyle name="Currency 5 3 2 8 3" xfId="10950" xr:uid="{6C74FD92-6A0C-4D96-B16C-26DBD096F073}"/>
    <cellStyle name="Currency 5 3 2 9" xfId="2731" xr:uid="{00000000-0005-0000-0000-0000DC0C0000}"/>
    <cellStyle name="Currency 5 3 3" xfId="214" xr:uid="{00000000-0005-0000-0000-0000DD0C0000}"/>
    <cellStyle name="Currency 5 3 3 10" xfId="4656" xr:uid="{00000000-0005-0000-0000-0000DE0C0000}"/>
    <cellStyle name="Currency 5 3 3 10 2" xfId="13106" xr:uid="{9CEC0FFF-6420-4EE8-8AA5-DB7D6D8AA96A}"/>
    <cellStyle name="Currency 5 3 3 11" xfId="8888" xr:uid="{4FD372DE-60FF-42EB-B87E-30EB491B1609}"/>
    <cellStyle name="Currency 5 3 3 2" xfId="215" xr:uid="{00000000-0005-0000-0000-0000DF0C0000}"/>
    <cellStyle name="Currency 5 3 3 2 10" xfId="8889" xr:uid="{226A017F-8FCA-46B5-8A8F-A75709C4CED9}"/>
    <cellStyle name="Currency 5 3 3 2 2" xfId="741" xr:uid="{00000000-0005-0000-0000-0000E00C0000}"/>
    <cellStyle name="Currency 5 3 3 2 2 2" xfId="2994" xr:uid="{00000000-0005-0000-0000-0000E10C0000}"/>
    <cellStyle name="Currency 5 3 3 2 2 2 2" xfId="7216" xr:uid="{00000000-0005-0000-0000-0000E20C0000}"/>
    <cellStyle name="Currency 5 3 3 2 2 2 2 2" xfId="15666" xr:uid="{1ADB047F-8B5E-44F4-96A8-05E9E20C33FB}"/>
    <cellStyle name="Currency 5 3 3 2 2 2 3" xfId="11448" xr:uid="{2D536F8B-E0D5-45AE-9279-A67F2D68B333}"/>
    <cellStyle name="Currency 5 3 3 2 2 3" xfId="5071" xr:uid="{00000000-0005-0000-0000-0000E30C0000}"/>
    <cellStyle name="Currency 5 3 3 2 2 3 2" xfId="13521" xr:uid="{932B925F-A1D0-409F-B491-5F4641C60EC3}"/>
    <cellStyle name="Currency 5 3 3 2 2 4" xfId="9303" xr:uid="{A9E5EE78-9C26-444B-8801-7881DBFBB499}"/>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2 2 2" xfId="16079" xr:uid="{A475CF88-2E10-4077-A943-8F5E79202A89}"/>
    <cellStyle name="Currency 5 3 3 2 3 2 3" xfId="11861" xr:uid="{22C4EF47-886C-4B7C-9F24-8F8512245C5C}"/>
    <cellStyle name="Currency 5 3 3 2 3 3" xfId="5484" xr:uid="{00000000-0005-0000-0000-0000E70C0000}"/>
    <cellStyle name="Currency 5 3 3 2 3 3 2" xfId="13934" xr:uid="{C2C87856-3772-45E4-B7F5-68A9501C774E}"/>
    <cellStyle name="Currency 5 3 3 2 3 4" xfId="9716" xr:uid="{D0697A47-70FC-49AF-862F-274B098B72A5}"/>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2 2 2" xfId="16492" xr:uid="{3C80AF44-528E-48ED-AD86-407072F7BCB0}"/>
    <cellStyle name="Currency 5 3 3 2 4 2 3" xfId="12274" xr:uid="{488E8D72-9EAC-4B3B-85F0-CB8D50DED1D1}"/>
    <cellStyle name="Currency 5 3 3 2 4 3" xfId="5897" xr:uid="{00000000-0005-0000-0000-0000EB0C0000}"/>
    <cellStyle name="Currency 5 3 3 2 4 3 2" xfId="14347" xr:uid="{9DAB13C0-7A66-410A-B550-9BBE11890A4D}"/>
    <cellStyle name="Currency 5 3 3 2 4 4" xfId="10129" xr:uid="{6F939CB1-2EC3-443E-8E47-7DC656E478D8}"/>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2 2 2" xfId="16905" xr:uid="{1B9835CB-66B9-496C-B0BF-A90BC52D8AC8}"/>
    <cellStyle name="Currency 5 3 3 2 5 2 3" xfId="12687" xr:uid="{DE6700A0-6A9A-488B-8E57-513D452D309A}"/>
    <cellStyle name="Currency 5 3 3 2 5 3" xfId="6310" xr:uid="{00000000-0005-0000-0000-0000EF0C0000}"/>
    <cellStyle name="Currency 5 3 3 2 5 3 2" xfId="14760" xr:uid="{FB216BE7-CB26-445E-9645-009E45A6A836}"/>
    <cellStyle name="Currency 5 3 3 2 5 4" xfId="10542" xr:uid="{497FFE98-E90F-4EA1-868D-9457A134997C}"/>
    <cellStyle name="Currency 5 3 3 2 6" xfId="2439" xr:uid="{00000000-0005-0000-0000-0000F00C0000}"/>
    <cellStyle name="Currency 5 3 3 2 6 2" xfId="6723" xr:uid="{00000000-0005-0000-0000-0000F10C0000}"/>
    <cellStyle name="Currency 5 3 3 2 6 2 2" xfId="15173" xr:uid="{5128C1A3-B954-4D61-8B6D-A404B2527450}"/>
    <cellStyle name="Currency 5 3 3 2 6 3" xfId="10955" xr:uid="{9B9E84F2-144C-48FD-B155-A64CE918404D}"/>
    <cellStyle name="Currency 5 3 3 2 7" xfId="2736" xr:uid="{00000000-0005-0000-0000-0000F20C0000}"/>
    <cellStyle name="Currency 5 3 3 2 8" xfId="2817" xr:uid="{00000000-0005-0000-0000-0000F30C0000}"/>
    <cellStyle name="Currency 5 3 3 2 8 2" xfId="7040" xr:uid="{00000000-0005-0000-0000-0000F40C0000}"/>
    <cellStyle name="Currency 5 3 3 2 8 2 2" xfId="15490" xr:uid="{3AE2E548-8FD2-48C9-B2F4-976EB0149652}"/>
    <cellStyle name="Currency 5 3 3 2 8 3" xfId="11272" xr:uid="{A9F2FB34-B1DB-4658-8F15-65158D418F92}"/>
    <cellStyle name="Currency 5 3 3 2 9" xfId="4657" xr:uid="{00000000-0005-0000-0000-0000F50C0000}"/>
    <cellStyle name="Currency 5 3 3 2 9 2" xfId="13107" xr:uid="{071DD52A-174F-4301-8167-71EB1C3E8635}"/>
    <cellStyle name="Currency 5 3 3 3" xfId="740" xr:uid="{00000000-0005-0000-0000-0000F60C0000}"/>
    <cellStyle name="Currency 5 3 3 3 2" xfId="2993" xr:uid="{00000000-0005-0000-0000-0000F70C0000}"/>
    <cellStyle name="Currency 5 3 3 3 2 2" xfId="7215" xr:uid="{00000000-0005-0000-0000-0000F80C0000}"/>
    <cellStyle name="Currency 5 3 3 3 2 2 2" xfId="15665" xr:uid="{C15B76A9-EB1E-4B9F-BE85-D2F70564D8A8}"/>
    <cellStyle name="Currency 5 3 3 3 2 3" xfId="11447" xr:uid="{C0BB6834-48C2-4F96-B2A8-12C277B73FD3}"/>
    <cellStyle name="Currency 5 3 3 3 3" xfId="5070" xr:uid="{00000000-0005-0000-0000-0000F90C0000}"/>
    <cellStyle name="Currency 5 3 3 3 3 2" xfId="13520" xr:uid="{B7AC2F85-8853-45BA-9144-1C7CBDF0D6BC}"/>
    <cellStyle name="Currency 5 3 3 3 4" xfId="9302" xr:uid="{7E79C147-F1A8-4C5E-8EA4-95ED413E8847}"/>
    <cellStyle name="Currency 5 3 3 4" xfId="1175" xr:uid="{00000000-0005-0000-0000-0000FA0C0000}"/>
    <cellStyle name="Currency 5 3 3 4 2" xfId="3406" xr:uid="{00000000-0005-0000-0000-0000FB0C0000}"/>
    <cellStyle name="Currency 5 3 3 4 2 2" xfId="7628" xr:uid="{00000000-0005-0000-0000-0000FC0C0000}"/>
    <cellStyle name="Currency 5 3 3 4 2 2 2" xfId="16078" xr:uid="{54E99C55-A1AE-47EB-8B58-A5BCDF2B017E}"/>
    <cellStyle name="Currency 5 3 3 4 2 3" xfId="11860" xr:uid="{CC85EC02-67B2-4992-BBF6-6B38F341F29E}"/>
    <cellStyle name="Currency 5 3 3 4 3" xfId="5483" xr:uid="{00000000-0005-0000-0000-0000FD0C0000}"/>
    <cellStyle name="Currency 5 3 3 4 3 2" xfId="13933" xr:uid="{A114252D-EA3D-4D87-86A2-4CDE77E720B0}"/>
    <cellStyle name="Currency 5 3 3 4 4" xfId="9715" xr:uid="{286BAD9A-56F9-42B9-A5E8-C2987087E0D2}"/>
    <cellStyle name="Currency 5 3 3 5" xfId="1589" xr:uid="{00000000-0005-0000-0000-0000FE0C0000}"/>
    <cellStyle name="Currency 5 3 3 5 2" xfId="3819" xr:uid="{00000000-0005-0000-0000-0000FF0C0000}"/>
    <cellStyle name="Currency 5 3 3 5 2 2" xfId="8041" xr:uid="{00000000-0005-0000-0000-0000000D0000}"/>
    <cellStyle name="Currency 5 3 3 5 2 2 2" xfId="16491" xr:uid="{F57559F7-7FCE-484D-A512-CEC5A36CDECE}"/>
    <cellStyle name="Currency 5 3 3 5 2 3" xfId="12273" xr:uid="{62C77B51-67B5-4507-839D-311E981DA229}"/>
    <cellStyle name="Currency 5 3 3 5 3" xfId="5896" xr:uid="{00000000-0005-0000-0000-0000010D0000}"/>
    <cellStyle name="Currency 5 3 3 5 3 2" xfId="14346" xr:uid="{34DD6EB1-0751-46C9-80A7-AD6CB11088E6}"/>
    <cellStyle name="Currency 5 3 3 5 4" xfId="10128" xr:uid="{0BA452CB-F81C-4684-962E-5D8DB3835212}"/>
    <cellStyle name="Currency 5 3 3 6" xfId="2003" xr:uid="{00000000-0005-0000-0000-0000020D0000}"/>
    <cellStyle name="Currency 5 3 3 6 2" xfId="4232" xr:uid="{00000000-0005-0000-0000-0000030D0000}"/>
    <cellStyle name="Currency 5 3 3 6 2 2" xfId="8454" xr:uid="{00000000-0005-0000-0000-0000040D0000}"/>
    <cellStyle name="Currency 5 3 3 6 2 2 2" xfId="16904" xr:uid="{5D64E4E9-02C0-4DA3-BE17-2FDD726C9ADD}"/>
    <cellStyle name="Currency 5 3 3 6 2 3" xfId="12686" xr:uid="{610D2B0B-FA04-4EB8-8F7D-8D95B42E5634}"/>
    <cellStyle name="Currency 5 3 3 6 3" xfId="6309" xr:uid="{00000000-0005-0000-0000-0000050D0000}"/>
    <cellStyle name="Currency 5 3 3 6 3 2" xfId="14759" xr:uid="{ECB2ED9F-6202-47E4-B434-2A66A4B7453E}"/>
    <cellStyle name="Currency 5 3 3 6 4" xfId="10541" xr:uid="{41554432-3062-4131-A21B-775FDBC2F009}"/>
    <cellStyle name="Currency 5 3 3 7" xfId="2438" xr:uid="{00000000-0005-0000-0000-0000060D0000}"/>
    <cellStyle name="Currency 5 3 3 7 2" xfId="6722" xr:uid="{00000000-0005-0000-0000-0000070D0000}"/>
    <cellStyle name="Currency 5 3 3 7 2 2" xfId="15172" xr:uid="{3E4D4405-BB66-47EB-A71C-BACE54F292DD}"/>
    <cellStyle name="Currency 5 3 3 7 3" xfId="10954" xr:uid="{120D0815-81D4-49C5-AD5C-0D863E037709}"/>
    <cellStyle name="Currency 5 3 3 8" xfId="2735" xr:uid="{00000000-0005-0000-0000-0000080D0000}"/>
    <cellStyle name="Currency 5 3 3 9" xfId="2816" xr:uid="{00000000-0005-0000-0000-0000090D0000}"/>
    <cellStyle name="Currency 5 3 3 9 2" xfId="7039" xr:uid="{00000000-0005-0000-0000-00000A0D0000}"/>
    <cellStyle name="Currency 5 3 3 9 2 2" xfId="15489" xr:uid="{6ABDD25E-5499-4FF5-B185-00AB6FD29F48}"/>
    <cellStyle name="Currency 5 3 3 9 3" xfId="11271" xr:uid="{8DD7B580-7E3E-484D-ACF0-D8023AAA337C}"/>
    <cellStyle name="Currency 5 3 4" xfId="216" xr:uid="{00000000-0005-0000-0000-00000B0D0000}"/>
    <cellStyle name="Currency 5 3 4 10" xfId="8890" xr:uid="{49CA7F05-A58C-4F1F-841A-2FFBCAA06BA5}"/>
    <cellStyle name="Currency 5 3 4 2" xfId="742" xr:uid="{00000000-0005-0000-0000-00000C0D0000}"/>
    <cellStyle name="Currency 5 3 4 2 2" xfId="2995" xr:uid="{00000000-0005-0000-0000-00000D0D0000}"/>
    <cellStyle name="Currency 5 3 4 2 2 2" xfId="7217" xr:uid="{00000000-0005-0000-0000-00000E0D0000}"/>
    <cellStyle name="Currency 5 3 4 2 2 2 2" xfId="15667" xr:uid="{BA5BD0C9-1780-481A-9C5C-20F7B2D4992B}"/>
    <cellStyle name="Currency 5 3 4 2 2 3" xfId="11449" xr:uid="{9C154445-3D26-445E-A506-7BA8A69A79DB}"/>
    <cellStyle name="Currency 5 3 4 2 3" xfId="5072" xr:uid="{00000000-0005-0000-0000-00000F0D0000}"/>
    <cellStyle name="Currency 5 3 4 2 3 2" xfId="13522" xr:uid="{3891857D-3B2B-4FCF-9D30-60AC2FD40626}"/>
    <cellStyle name="Currency 5 3 4 2 4" xfId="9304" xr:uid="{39FA1D6A-C43C-4117-B406-513C9587D672}"/>
    <cellStyle name="Currency 5 3 4 3" xfId="1177" xr:uid="{00000000-0005-0000-0000-0000100D0000}"/>
    <cellStyle name="Currency 5 3 4 3 2" xfId="3408" xr:uid="{00000000-0005-0000-0000-0000110D0000}"/>
    <cellStyle name="Currency 5 3 4 3 2 2" xfId="7630" xr:uid="{00000000-0005-0000-0000-0000120D0000}"/>
    <cellStyle name="Currency 5 3 4 3 2 2 2" xfId="16080" xr:uid="{58AD29D6-8CD3-4DBA-A073-F2FD277971AE}"/>
    <cellStyle name="Currency 5 3 4 3 2 3" xfId="11862" xr:uid="{FE705292-15AE-4861-8E4E-299B1B74F782}"/>
    <cellStyle name="Currency 5 3 4 3 3" xfId="5485" xr:uid="{00000000-0005-0000-0000-0000130D0000}"/>
    <cellStyle name="Currency 5 3 4 3 3 2" xfId="13935" xr:uid="{045E0707-EBD9-4E55-A5B2-2B5042321E7E}"/>
    <cellStyle name="Currency 5 3 4 3 4" xfId="9717" xr:uid="{7B37803F-F68F-4111-804E-6D0CFB521AB9}"/>
    <cellStyle name="Currency 5 3 4 4" xfId="1591" xr:uid="{00000000-0005-0000-0000-0000140D0000}"/>
    <cellStyle name="Currency 5 3 4 4 2" xfId="3821" xr:uid="{00000000-0005-0000-0000-0000150D0000}"/>
    <cellStyle name="Currency 5 3 4 4 2 2" xfId="8043" xr:uid="{00000000-0005-0000-0000-0000160D0000}"/>
    <cellStyle name="Currency 5 3 4 4 2 2 2" xfId="16493" xr:uid="{44E86A2B-78F9-4CE5-A9F9-2BCFCD93E202}"/>
    <cellStyle name="Currency 5 3 4 4 2 3" xfId="12275" xr:uid="{7B39BF3E-8B91-4E8C-8421-D9D104E4C68A}"/>
    <cellStyle name="Currency 5 3 4 4 3" xfId="5898" xr:uid="{00000000-0005-0000-0000-0000170D0000}"/>
    <cellStyle name="Currency 5 3 4 4 3 2" xfId="14348" xr:uid="{0A030EC1-9E59-4FE6-B343-348E484E1956}"/>
    <cellStyle name="Currency 5 3 4 4 4" xfId="10130" xr:uid="{31CA4DA9-549B-4977-B130-60BF20AA5455}"/>
    <cellStyle name="Currency 5 3 4 5" xfId="2005" xr:uid="{00000000-0005-0000-0000-0000180D0000}"/>
    <cellStyle name="Currency 5 3 4 5 2" xfId="4234" xr:uid="{00000000-0005-0000-0000-0000190D0000}"/>
    <cellStyle name="Currency 5 3 4 5 2 2" xfId="8456" xr:uid="{00000000-0005-0000-0000-00001A0D0000}"/>
    <cellStyle name="Currency 5 3 4 5 2 2 2" xfId="16906" xr:uid="{98F9F8D0-CC07-44B2-A359-2B33D26AE7FB}"/>
    <cellStyle name="Currency 5 3 4 5 2 3" xfId="12688" xr:uid="{245BFCD2-07B3-4777-A22F-2DBF603E04BF}"/>
    <cellStyle name="Currency 5 3 4 5 3" xfId="6311" xr:uid="{00000000-0005-0000-0000-00001B0D0000}"/>
    <cellStyle name="Currency 5 3 4 5 3 2" xfId="14761" xr:uid="{5D1DC24F-D7EE-41E4-937D-FB2BAF9F5C70}"/>
    <cellStyle name="Currency 5 3 4 5 4" xfId="10543" xr:uid="{6C0CD159-2FDC-4A20-8039-5CC5EC9187A9}"/>
    <cellStyle name="Currency 5 3 4 6" xfId="2440" xr:uid="{00000000-0005-0000-0000-00001C0D0000}"/>
    <cellStyle name="Currency 5 3 4 6 2" xfId="6724" xr:uid="{00000000-0005-0000-0000-00001D0D0000}"/>
    <cellStyle name="Currency 5 3 4 6 2 2" xfId="15174" xr:uid="{24BC9A83-CCE5-4D23-B80D-C18F2F0D99CE}"/>
    <cellStyle name="Currency 5 3 4 6 3" xfId="10956" xr:uid="{CFEE49B7-F808-4680-9B15-85F8004A3736}"/>
    <cellStyle name="Currency 5 3 4 7" xfId="2737" xr:uid="{00000000-0005-0000-0000-00001E0D0000}"/>
    <cellStyle name="Currency 5 3 4 8" xfId="2818" xr:uid="{00000000-0005-0000-0000-00001F0D0000}"/>
    <cellStyle name="Currency 5 3 4 8 2" xfId="7041" xr:uid="{00000000-0005-0000-0000-0000200D0000}"/>
    <cellStyle name="Currency 5 3 4 8 2 2" xfId="15491" xr:uid="{0F575929-CCBC-46D5-802C-D7ACDB79A963}"/>
    <cellStyle name="Currency 5 3 4 8 3" xfId="11273" xr:uid="{8E3B1E98-F384-493A-84AF-1A38565D8799}"/>
    <cellStyle name="Currency 5 3 4 9" xfId="4658" xr:uid="{00000000-0005-0000-0000-0000210D0000}"/>
    <cellStyle name="Currency 5 3 4 9 2" xfId="13108" xr:uid="{68095179-EAE9-48AB-9291-468C40A9AFCE}"/>
    <cellStyle name="Currency 5 3 5" xfId="217" xr:uid="{00000000-0005-0000-0000-0000220D0000}"/>
    <cellStyle name="Currency 5 3 5 10" xfId="8891" xr:uid="{D28D5F35-8B03-489A-AF35-BDE84AEC2CF3}"/>
    <cellStyle name="Currency 5 3 5 2" xfId="743" xr:uid="{00000000-0005-0000-0000-0000230D0000}"/>
    <cellStyle name="Currency 5 3 5 2 2" xfId="2996" xr:uid="{00000000-0005-0000-0000-0000240D0000}"/>
    <cellStyle name="Currency 5 3 5 2 2 2" xfId="7218" xr:uid="{00000000-0005-0000-0000-0000250D0000}"/>
    <cellStyle name="Currency 5 3 5 2 2 2 2" xfId="15668" xr:uid="{A78D4ABD-1385-428D-AF91-8DE4850ACEB2}"/>
    <cellStyle name="Currency 5 3 5 2 2 3" xfId="11450" xr:uid="{F4762A8D-37F6-4E1F-8564-A7265514903A}"/>
    <cellStyle name="Currency 5 3 5 2 3" xfId="5073" xr:uid="{00000000-0005-0000-0000-0000260D0000}"/>
    <cellStyle name="Currency 5 3 5 2 3 2" xfId="13523" xr:uid="{D0C40D99-8BED-4F55-9A45-401E8BE57D6A}"/>
    <cellStyle name="Currency 5 3 5 2 4" xfId="9305" xr:uid="{11559FF9-0D98-45F3-B1F4-3ECA42D86125}"/>
    <cellStyle name="Currency 5 3 5 3" xfId="1178" xr:uid="{00000000-0005-0000-0000-0000270D0000}"/>
    <cellStyle name="Currency 5 3 5 3 2" xfId="3409" xr:uid="{00000000-0005-0000-0000-0000280D0000}"/>
    <cellStyle name="Currency 5 3 5 3 2 2" xfId="7631" xr:uid="{00000000-0005-0000-0000-0000290D0000}"/>
    <cellStyle name="Currency 5 3 5 3 2 2 2" xfId="16081" xr:uid="{72F57B1D-AA23-4EA3-8544-5B6C65F3171E}"/>
    <cellStyle name="Currency 5 3 5 3 2 3" xfId="11863" xr:uid="{129911D1-86A7-4335-910F-EEDE134130BF}"/>
    <cellStyle name="Currency 5 3 5 3 3" xfId="5486" xr:uid="{00000000-0005-0000-0000-00002A0D0000}"/>
    <cellStyle name="Currency 5 3 5 3 3 2" xfId="13936" xr:uid="{044267DA-8BF7-4B30-BFF5-754C6D8237F1}"/>
    <cellStyle name="Currency 5 3 5 3 4" xfId="9718" xr:uid="{0C93A8E7-6EF8-47E8-9C5E-2027450554DB}"/>
    <cellStyle name="Currency 5 3 5 4" xfId="1592" xr:uid="{00000000-0005-0000-0000-00002B0D0000}"/>
    <cellStyle name="Currency 5 3 5 4 2" xfId="3822" xr:uid="{00000000-0005-0000-0000-00002C0D0000}"/>
    <cellStyle name="Currency 5 3 5 4 2 2" xfId="8044" xr:uid="{00000000-0005-0000-0000-00002D0D0000}"/>
    <cellStyle name="Currency 5 3 5 4 2 2 2" xfId="16494" xr:uid="{AAF0B979-4A2A-419C-8A09-24A17DB22066}"/>
    <cellStyle name="Currency 5 3 5 4 2 3" xfId="12276" xr:uid="{7E8FF7B7-F594-4395-AF19-133B5F2BBB69}"/>
    <cellStyle name="Currency 5 3 5 4 3" xfId="5899" xr:uid="{00000000-0005-0000-0000-00002E0D0000}"/>
    <cellStyle name="Currency 5 3 5 4 3 2" xfId="14349" xr:uid="{105F0A40-1562-4C56-905C-563621F67F31}"/>
    <cellStyle name="Currency 5 3 5 4 4" xfId="10131" xr:uid="{6114039E-12FF-4880-A296-522FFA5C4593}"/>
    <cellStyle name="Currency 5 3 5 5" xfId="2006" xr:uid="{00000000-0005-0000-0000-00002F0D0000}"/>
    <cellStyle name="Currency 5 3 5 5 2" xfId="4235" xr:uid="{00000000-0005-0000-0000-0000300D0000}"/>
    <cellStyle name="Currency 5 3 5 5 2 2" xfId="8457" xr:uid="{00000000-0005-0000-0000-0000310D0000}"/>
    <cellStyle name="Currency 5 3 5 5 2 2 2" xfId="16907" xr:uid="{0E366DC7-68C7-4792-A4CC-672833DAE0B9}"/>
    <cellStyle name="Currency 5 3 5 5 2 3" xfId="12689" xr:uid="{EFF8919B-A873-4165-AEE3-659F4FAFC783}"/>
    <cellStyle name="Currency 5 3 5 5 3" xfId="6312" xr:uid="{00000000-0005-0000-0000-0000320D0000}"/>
    <cellStyle name="Currency 5 3 5 5 3 2" xfId="14762" xr:uid="{4C8C276E-5AA6-4075-9B91-4EA89D766F6B}"/>
    <cellStyle name="Currency 5 3 5 5 4" xfId="10544" xr:uid="{60393317-E93E-4959-B8DA-2D5578D049A9}"/>
    <cellStyle name="Currency 5 3 5 6" xfId="2441" xr:uid="{00000000-0005-0000-0000-0000330D0000}"/>
    <cellStyle name="Currency 5 3 5 6 2" xfId="6725" xr:uid="{00000000-0005-0000-0000-0000340D0000}"/>
    <cellStyle name="Currency 5 3 5 6 2 2" xfId="15175" xr:uid="{34F9F913-224E-4D86-91E0-2BE742D0037E}"/>
    <cellStyle name="Currency 5 3 5 6 3" xfId="10957" xr:uid="{783D861A-6F30-4409-8FA1-7149DEC45E8D}"/>
    <cellStyle name="Currency 5 3 5 7" xfId="2738" xr:uid="{00000000-0005-0000-0000-0000350D0000}"/>
    <cellStyle name="Currency 5 3 5 8" xfId="2819" xr:uid="{00000000-0005-0000-0000-0000360D0000}"/>
    <cellStyle name="Currency 5 3 5 8 2" xfId="7042" xr:uid="{00000000-0005-0000-0000-0000370D0000}"/>
    <cellStyle name="Currency 5 3 5 8 2 2" xfId="15492" xr:uid="{2F93164F-169F-4A73-9639-AAB62FC784C1}"/>
    <cellStyle name="Currency 5 3 5 8 3" xfId="11274" xr:uid="{0BE4FB54-D708-43AA-91F8-48FF93B35371}"/>
    <cellStyle name="Currency 5 3 5 9" xfId="4659" xr:uid="{00000000-0005-0000-0000-0000380D0000}"/>
    <cellStyle name="Currency 5 3 5 9 2" xfId="13109" xr:uid="{FC40812C-B3B6-447E-84CC-B02DC1BB3D06}"/>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10 2" xfId="13110" xr:uid="{61654871-D6E2-4A5B-8FB9-8609799CD893}"/>
    <cellStyle name="Currency 5 5 11" xfId="8892" xr:uid="{8733B5EA-A0DE-451D-81E9-95B85ADD8A9B}"/>
    <cellStyle name="Currency 5 5 2" xfId="220" xr:uid="{00000000-0005-0000-0000-00003D0D0000}"/>
    <cellStyle name="Currency 5 5 2 10" xfId="8893" xr:uid="{1EE63953-24AD-4F58-A868-662AE3B60F46}"/>
    <cellStyle name="Currency 5 5 2 2" xfId="746" xr:uid="{00000000-0005-0000-0000-00003E0D0000}"/>
    <cellStyle name="Currency 5 5 2 2 2" xfId="2998" xr:uid="{00000000-0005-0000-0000-00003F0D0000}"/>
    <cellStyle name="Currency 5 5 2 2 2 2" xfId="7220" xr:uid="{00000000-0005-0000-0000-0000400D0000}"/>
    <cellStyle name="Currency 5 5 2 2 2 2 2" xfId="15670" xr:uid="{BE10DE67-F682-4CD6-A9D7-5E8B09A2B57E}"/>
    <cellStyle name="Currency 5 5 2 2 2 3" xfId="11452" xr:uid="{046D6147-59D3-45C0-8F04-B8882C6DE24F}"/>
    <cellStyle name="Currency 5 5 2 2 3" xfId="5075" xr:uid="{00000000-0005-0000-0000-0000410D0000}"/>
    <cellStyle name="Currency 5 5 2 2 3 2" xfId="13525" xr:uid="{3E2E1713-521B-4571-B4E3-7D959219FDA1}"/>
    <cellStyle name="Currency 5 5 2 2 4" xfId="9307" xr:uid="{EDAB38A3-D28B-4F0E-B5B2-1E2C32E53878}"/>
    <cellStyle name="Currency 5 5 2 3" xfId="1180" xr:uid="{00000000-0005-0000-0000-0000420D0000}"/>
    <cellStyle name="Currency 5 5 2 3 2" xfId="3411" xr:uid="{00000000-0005-0000-0000-0000430D0000}"/>
    <cellStyle name="Currency 5 5 2 3 2 2" xfId="7633" xr:uid="{00000000-0005-0000-0000-0000440D0000}"/>
    <cellStyle name="Currency 5 5 2 3 2 2 2" xfId="16083" xr:uid="{F1731773-E83B-4365-A176-F6645E54B892}"/>
    <cellStyle name="Currency 5 5 2 3 2 3" xfId="11865" xr:uid="{0955D915-37A2-4AE3-BA86-4D5B7CEFB82F}"/>
    <cellStyle name="Currency 5 5 2 3 3" xfId="5488" xr:uid="{00000000-0005-0000-0000-0000450D0000}"/>
    <cellStyle name="Currency 5 5 2 3 3 2" xfId="13938" xr:uid="{85E507E7-9EF6-4F37-9FD7-B6BBCF6565AF}"/>
    <cellStyle name="Currency 5 5 2 3 4" xfId="9720" xr:uid="{283DEA8A-FC8F-40BD-B4AB-A4848E6F83E3}"/>
    <cellStyle name="Currency 5 5 2 4" xfId="1594" xr:uid="{00000000-0005-0000-0000-0000460D0000}"/>
    <cellStyle name="Currency 5 5 2 4 2" xfId="3824" xr:uid="{00000000-0005-0000-0000-0000470D0000}"/>
    <cellStyle name="Currency 5 5 2 4 2 2" xfId="8046" xr:uid="{00000000-0005-0000-0000-0000480D0000}"/>
    <cellStyle name="Currency 5 5 2 4 2 2 2" xfId="16496" xr:uid="{2545716A-70BE-4CA1-A9A9-142C98DEDBAA}"/>
    <cellStyle name="Currency 5 5 2 4 2 3" xfId="12278" xr:uid="{D6DDE60A-C42D-444C-A555-3E79F1437C72}"/>
    <cellStyle name="Currency 5 5 2 4 3" xfId="5901" xr:uid="{00000000-0005-0000-0000-0000490D0000}"/>
    <cellStyle name="Currency 5 5 2 4 3 2" xfId="14351" xr:uid="{2923EC28-B49D-4208-9727-37672B022D1E}"/>
    <cellStyle name="Currency 5 5 2 4 4" xfId="10133" xr:uid="{E28C8FC2-8737-4E2F-8F1B-CBED04B00E70}"/>
    <cellStyle name="Currency 5 5 2 5" xfId="2008" xr:uid="{00000000-0005-0000-0000-00004A0D0000}"/>
    <cellStyle name="Currency 5 5 2 5 2" xfId="4237" xr:uid="{00000000-0005-0000-0000-00004B0D0000}"/>
    <cellStyle name="Currency 5 5 2 5 2 2" xfId="8459" xr:uid="{00000000-0005-0000-0000-00004C0D0000}"/>
    <cellStyle name="Currency 5 5 2 5 2 2 2" xfId="16909" xr:uid="{C9A0015D-8ACE-4939-9FAE-0DDF46EDD252}"/>
    <cellStyle name="Currency 5 5 2 5 2 3" xfId="12691" xr:uid="{5FCF1C8A-ED2F-456D-B2FE-9A4D6F49766F}"/>
    <cellStyle name="Currency 5 5 2 5 3" xfId="6314" xr:uid="{00000000-0005-0000-0000-00004D0D0000}"/>
    <cellStyle name="Currency 5 5 2 5 3 2" xfId="14764" xr:uid="{971B1261-727C-409B-8A8D-4D4531CF602E}"/>
    <cellStyle name="Currency 5 5 2 5 4" xfId="10546" xr:uid="{79FF6EDB-AE71-44DC-A4D7-B7963220C303}"/>
    <cellStyle name="Currency 5 5 2 6" xfId="2443" xr:uid="{00000000-0005-0000-0000-00004E0D0000}"/>
    <cellStyle name="Currency 5 5 2 6 2" xfId="6727" xr:uid="{00000000-0005-0000-0000-00004F0D0000}"/>
    <cellStyle name="Currency 5 5 2 6 2 2" xfId="15177" xr:uid="{00A0AFE2-F8F0-494B-B9D0-F5AAF2DB0E10}"/>
    <cellStyle name="Currency 5 5 2 6 3" xfId="10959" xr:uid="{D3017DC1-F753-42AC-AF84-228F03AD3E61}"/>
    <cellStyle name="Currency 5 5 2 7" xfId="2740" xr:uid="{00000000-0005-0000-0000-0000500D0000}"/>
    <cellStyle name="Currency 5 5 2 8" xfId="2821" xr:uid="{00000000-0005-0000-0000-0000510D0000}"/>
    <cellStyle name="Currency 5 5 2 8 2" xfId="7044" xr:uid="{00000000-0005-0000-0000-0000520D0000}"/>
    <cellStyle name="Currency 5 5 2 8 2 2" xfId="15494" xr:uid="{7A30CC4D-E8DA-4942-96C2-DA795E522172}"/>
    <cellStyle name="Currency 5 5 2 8 3" xfId="11276" xr:uid="{57C704EC-CFA4-4321-8C43-82A1C4F22264}"/>
    <cellStyle name="Currency 5 5 2 9" xfId="4661" xr:uid="{00000000-0005-0000-0000-0000530D0000}"/>
    <cellStyle name="Currency 5 5 2 9 2" xfId="13111" xr:uid="{D87E7D42-2688-41CE-A8E3-F8024516E762}"/>
    <cellStyle name="Currency 5 5 3" xfId="745" xr:uid="{00000000-0005-0000-0000-0000540D0000}"/>
    <cellStyle name="Currency 5 5 3 2" xfId="2997" xr:uid="{00000000-0005-0000-0000-0000550D0000}"/>
    <cellStyle name="Currency 5 5 3 2 2" xfId="7219" xr:uid="{00000000-0005-0000-0000-0000560D0000}"/>
    <cellStyle name="Currency 5 5 3 2 2 2" xfId="15669" xr:uid="{AE5E56B0-2E8F-43CF-81C2-9F4B39C004D3}"/>
    <cellStyle name="Currency 5 5 3 2 3" xfId="11451" xr:uid="{63E340E0-0C40-4F0E-9E2B-D0FB413D6760}"/>
    <cellStyle name="Currency 5 5 3 3" xfId="5074" xr:uid="{00000000-0005-0000-0000-0000570D0000}"/>
    <cellStyle name="Currency 5 5 3 3 2" xfId="13524" xr:uid="{000F3EE6-4EAE-441B-A0BD-973101E42008}"/>
    <cellStyle name="Currency 5 5 3 4" xfId="9306" xr:uid="{905F796D-217E-4E23-8A72-B1BE2D2DBCD0}"/>
    <cellStyle name="Currency 5 5 4" xfId="1179" xr:uid="{00000000-0005-0000-0000-0000580D0000}"/>
    <cellStyle name="Currency 5 5 4 2" xfId="3410" xr:uid="{00000000-0005-0000-0000-0000590D0000}"/>
    <cellStyle name="Currency 5 5 4 2 2" xfId="7632" xr:uid="{00000000-0005-0000-0000-00005A0D0000}"/>
    <cellStyle name="Currency 5 5 4 2 2 2" xfId="16082" xr:uid="{019FD164-746A-4AAB-BF95-FCAD19E09A75}"/>
    <cellStyle name="Currency 5 5 4 2 3" xfId="11864" xr:uid="{A97AFC7D-A861-4983-90E6-E5CDD9E2DE49}"/>
    <cellStyle name="Currency 5 5 4 3" xfId="5487" xr:uid="{00000000-0005-0000-0000-00005B0D0000}"/>
    <cellStyle name="Currency 5 5 4 3 2" xfId="13937" xr:uid="{D9DABE03-0B1D-4B6D-B102-C0A077CF16F4}"/>
    <cellStyle name="Currency 5 5 4 4" xfId="9719" xr:uid="{0C8DD5CA-0A47-478E-B187-45DBF2B67E65}"/>
    <cellStyle name="Currency 5 5 5" xfId="1593" xr:uid="{00000000-0005-0000-0000-00005C0D0000}"/>
    <cellStyle name="Currency 5 5 5 2" xfId="3823" xr:uid="{00000000-0005-0000-0000-00005D0D0000}"/>
    <cellStyle name="Currency 5 5 5 2 2" xfId="8045" xr:uid="{00000000-0005-0000-0000-00005E0D0000}"/>
    <cellStyle name="Currency 5 5 5 2 2 2" xfId="16495" xr:uid="{82FEB922-6F22-420A-8FAC-24F66EFBCA9C}"/>
    <cellStyle name="Currency 5 5 5 2 3" xfId="12277" xr:uid="{062B5097-0A7D-4CCA-928F-5EA3572AF220}"/>
    <cellStyle name="Currency 5 5 5 3" xfId="5900" xr:uid="{00000000-0005-0000-0000-00005F0D0000}"/>
    <cellStyle name="Currency 5 5 5 3 2" xfId="14350" xr:uid="{71826B5D-1992-4513-AE7D-8F1C47AF791E}"/>
    <cellStyle name="Currency 5 5 5 4" xfId="10132" xr:uid="{2DD4F302-3087-4560-A61A-EEA24D99D87D}"/>
    <cellStyle name="Currency 5 5 6" xfId="2007" xr:uid="{00000000-0005-0000-0000-0000600D0000}"/>
    <cellStyle name="Currency 5 5 6 2" xfId="4236" xr:uid="{00000000-0005-0000-0000-0000610D0000}"/>
    <cellStyle name="Currency 5 5 6 2 2" xfId="8458" xr:uid="{00000000-0005-0000-0000-0000620D0000}"/>
    <cellStyle name="Currency 5 5 6 2 2 2" xfId="16908" xr:uid="{1F786062-9F63-4AB6-8F74-511F79060B75}"/>
    <cellStyle name="Currency 5 5 6 2 3" xfId="12690" xr:uid="{E3ADF504-F838-44BD-AFE2-A4E1A8CE3C85}"/>
    <cellStyle name="Currency 5 5 6 3" xfId="6313" xr:uid="{00000000-0005-0000-0000-0000630D0000}"/>
    <cellStyle name="Currency 5 5 6 3 2" xfId="14763" xr:uid="{98F8EAA8-E758-4945-A054-C39641D7DC2E}"/>
    <cellStyle name="Currency 5 5 6 4" xfId="10545" xr:uid="{4DFEBA40-AEC9-4044-BD32-47551D7C0CD7}"/>
    <cellStyle name="Currency 5 5 7" xfId="2442" xr:uid="{00000000-0005-0000-0000-0000640D0000}"/>
    <cellStyle name="Currency 5 5 7 2" xfId="6726" xr:uid="{00000000-0005-0000-0000-0000650D0000}"/>
    <cellStyle name="Currency 5 5 7 2 2" xfId="15176" xr:uid="{6BCD64B6-EB30-4923-9267-E3E4835CB02C}"/>
    <cellStyle name="Currency 5 5 7 3" xfId="10958" xr:uid="{C159F4B3-74E0-463D-B702-CDA5FB59076D}"/>
    <cellStyle name="Currency 5 5 8" xfId="2739" xr:uid="{00000000-0005-0000-0000-0000660D0000}"/>
    <cellStyle name="Currency 5 5 9" xfId="2820" xr:uid="{00000000-0005-0000-0000-0000670D0000}"/>
    <cellStyle name="Currency 5 5 9 2" xfId="7043" xr:uid="{00000000-0005-0000-0000-0000680D0000}"/>
    <cellStyle name="Currency 5 5 9 2 2" xfId="15493" xr:uid="{E3984354-5869-4EC4-B343-FFFB8D13C191}"/>
    <cellStyle name="Currency 5 5 9 3" xfId="11275" xr:uid="{730DB33A-FFD6-4C16-B705-F98171D5AD70}"/>
    <cellStyle name="Currency 5 6" xfId="221" xr:uid="{00000000-0005-0000-0000-0000690D0000}"/>
    <cellStyle name="Currency 5 6 10" xfId="8894" xr:uid="{6DC997C3-5A5B-4C5D-AC97-D5247EB7E492}"/>
    <cellStyle name="Currency 5 6 2" xfId="747" xr:uid="{00000000-0005-0000-0000-00006A0D0000}"/>
    <cellStyle name="Currency 5 6 2 2" xfId="2999" xr:uid="{00000000-0005-0000-0000-00006B0D0000}"/>
    <cellStyle name="Currency 5 6 2 2 2" xfId="7221" xr:uid="{00000000-0005-0000-0000-00006C0D0000}"/>
    <cellStyle name="Currency 5 6 2 2 2 2" xfId="15671" xr:uid="{0176D7F7-DD47-441C-94EF-672FCD9EA667}"/>
    <cellStyle name="Currency 5 6 2 2 3" xfId="11453" xr:uid="{EBD214E0-7A00-420A-B8DB-E744AD77A34E}"/>
    <cellStyle name="Currency 5 6 2 3" xfId="5076" xr:uid="{00000000-0005-0000-0000-00006D0D0000}"/>
    <cellStyle name="Currency 5 6 2 3 2" xfId="13526" xr:uid="{E0F1CD6B-DAB9-42A8-91B5-9DB8E61BE52D}"/>
    <cellStyle name="Currency 5 6 2 4" xfId="9308" xr:uid="{E44B8CC8-8CF9-4B56-9EF8-EEC267F65FC1}"/>
    <cellStyle name="Currency 5 6 3" xfId="1181" xr:uid="{00000000-0005-0000-0000-00006E0D0000}"/>
    <cellStyle name="Currency 5 6 3 2" xfId="3412" xr:uid="{00000000-0005-0000-0000-00006F0D0000}"/>
    <cellStyle name="Currency 5 6 3 2 2" xfId="7634" xr:uid="{00000000-0005-0000-0000-0000700D0000}"/>
    <cellStyle name="Currency 5 6 3 2 2 2" xfId="16084" xr:uid="{30A59B74-DD10-4B96-8C6E-1DEB7DD67B3E}"/>
    <cellStyle name="Currency 5 6 3 2 3" xfId="11866" xr:uid="{1E9A8ECD-2642-4397-8B0C-1CF02E0C5751}"/>
    <cellStyle name="Currency 5 6 3 3" xfId="5489" xr:uid="{00000000-0005-0000-0000-0000710D0000}"/>
    <cellStyle name="Currency 5 6 3 3 2" xfId="13939" xr:uid="{9E90426D-E10E-44CE-8DC7-9132B366AD37}"/>
    <cellStyle name="Currency 5 6 3 4" xfId="9721" xr:uid="{6454856F-D501-48F3-BCE3-76CC2C17EBAE}"/>
    <cellStyle name="Currency 5 6 4" xfId="1595" xr:uid="{00000000-0005-0000-0000-0000720D0000}"/>
    <cellStyle name="Currency 5 6 4 2" xfId="3825" xr:uid="{00000000-0005-0000-0000-0000730D0000}"/>
    <cellStyle name="Currency 5 6 4 2 2" xfId="8047" xr:uid="{00000000-0005-0000-0000-0000740D0000}"/>
    <cellStyle name="Currency 5 6 4 2 2 2" xfId="16497" xr:uid="{294EE694-1FC5-42CE-99DA-2B6883CCDC11}"/>
    <cellStyle name="Currency 5 6 4 2 3" xfId="12279" xr:uid="{2A18EA06-2BBE-4764-9D0B-C853918E6AE0}"/>
    <cellStyle name="Currency 5 6 4 3" xfId="5902" xr:uid="{00000000-0005-0000-0000-0000750D0000}"/>
    <cellStyle name="Currency 5 6 4 3 2" xfId="14352" xr:uid="{E8ACDCED-9724-4412-955B-DEA7D63D85AB}"/>
    <cellStyle name="Currency 5 6 4 4" xfId="10134" xr:uid="{15DD37D7-5D28-4690-BD88-3D03AE41F181}"/>
    <cellStyle name="Currency 5 6 5" xfId="2009" xr:uid="{00000000-0005-0000-0000-0000760D0000}"/>
    <cellStyle name="Currency 5 6 5 2" xfId="4238" xr:uid="{00000000-0005-0000-0000-0000770D0000}"/>
    <cellStyle name="Currency 5 6 5 2 2" xfId="8460" xr:uid="{00000000-0005-0000-0000-0000780D0000}"/>
    <cellStyle name="Currency 5 6 5 2 2 2" xfId="16910" xr:uid="{D5F9B57D-0F79-448A-8BC7-B865BC41E972}"/>
    <cellStyle name="Currency 5 6 5 2 3" xfId="12692" xr:uid="{D517F63E-F245-4A40-8D71-9DC4457B87FB}"/>
    <cellStyle name="Currency 5 6 5 3" xfId="6315" xr:uid="{00000000-0005-0000-0000-0000790D0000}"/>
    <cellStyle name="Currency 5 6 5 3 2" xfId="14765" xr:uid="{39BD6E56-BA42-417D-986B-5FD5FF554F5C}"/>
    <cellStyle name="Currency 5 6 5 4" xfId="10547" xr:uid="{7E3B992F-E095-47E6-AFE6-C7A66435CEBC}"/>
    <cellStyle name="Currency 5 6 6" xfId="2444" xr:uid="{00000000-0005-0000-0000-00007A0D0000}"/>
    <cellStyle name="Currency 5 6 6 2" xfId="6728" xr:uid="{00000000-0005-0000-0000-00007B0D0000}"/>
    <cellStyle name="Currency 5 6 6 2 2" xfId="15178" xr:uid="{8C620C4A-FC7D-4AE2-9FFF-BB3E2433AC3B}"/>
    <cellStyle name="Currency 5 6 6 3" xfId="10960" xr:uid="{E741814D-0252-449F-A8F8-6D9598BA31D6}"/>
    <cellStyle name="Currency 5 6 7" xfId="2741" xr:uid="{00000000-0005-0000-0000-00007C0D0000}"/>
    <cellStyle name="Currency 5 6 8" xfId="2822" xr:uid="{00000000-0005-0000-0000-00007D0D0000}"/>
    <cellStyle name="Currency 5 6 8 2" xfId="7045" xr:uid="{00000000-0005-0000-0000-00007E0D0000}"/>
    <cellStyle name="Currency 5 6 8 2 2" xfId="15495" xr:uid="{56C89B9B-5D13-46F5-9CAE-4CCD436C03E1}"/>
    <cellStyle name="Currency 5 6 8 3" xfId="11277" xr:uid="{57645F8B-14B4-4286-9A80-640E6FE21B3C}"/>
    <cellStyle name="Currency 5 6 9" xfId="4662" xr:uid="{00000000-0005-0000-0000-00007F0D0000}"/>
    <cellStyle name="Currency 5 6 9 2" xfId="13112" xr:uid="{70CD9FB1-6F81-40B4-A8AD-0BE350F8C8E6}"/>
    <cellStyle name="Currency 5 7" xfId="222" xr:uid="{00000000-0005-0000-0000-0000800D0000}"/>
    <cellStyle name="Currency 5 7 10" xfId="8895" xr:uid="{4FD21888-5CEA-4CE1-A760-C8851DBE9B6C}"/>
    <cellStyle name="Currency 5 7 2" xfId="748" xr:uid="{00000000-0005-0000-0000-0000810D0000}"/>
    <cellStyle name="Currency 5 7 2 2" xfId="3000" xr:uid="{00000000-0005-0000-0000-0000820D0000}"/>
    <cellStyle name="Currency 5 7 2 2 2" xfId="7222" xr:uid="{00000000-0005-0000-0000-0000830D0000}"/>
    <cellStyle name="Currency 5 7 2 2 2 2" xfId="15672" xr:uid="{5ACBC48D-66CA-4DE2-8F44-DB4CE88F6482}"/>
    <cellStyle name="Currency 5 7 2 2 3" xfId="11454" xr:uid="{A1756066-E072-408D-9076-43239E9B90C8}"/>
    <cellStyle name="Currency 5 7 2 3" xfId="5077" xr:uid="{00000000-0005-0000-0000-0000840D0000}"/>
    <cellStyle name="Currency 5 7 2 3 2" xfId="13527" xr:uid="{BCE4BB0C-F99C-4362-BBFF-17015B042F9E}"/>
    <cellStyle name="Currency 5 7 2 4" xfId="9309" xr:uid="{9EA8B1D1-72EA-479B-B5FE-E5830AD14560}"/>
    <cellStyle name="Currency 5 7 3" xfId="1182" xr:uid="{00000000-0005-0000-0000-0000850D0000}"/>
    <cellStyle name="Currency 5 7 3 2" xfId="3413" xr:uid="{00000000-0005-0000-0000-0000860D0000}"/>
    <cellStyle name="Currency 5 7 3 2 2" xfId="7635" xr:uid="{00000000-0005-0000-0000-0000870D0000}"/>
    <cellStyle name="Currency 5 7 3 2 2 2" xfId="16085" xr:uid="{FE3D0792-F9B9-4E3F-B569-6EC335A91EAA}"/>
    <cellStyle name="Currency 5 7 3 2 3" xfId="11867" xr:uid="{9BB83874-775F-45CF-BA41-EA656E1A12E1}"/>
    <cellStyle name="Currency 5 7 3 3" xfId="5490" xr:uid="{00000000-0005-0000-0000-0000880D0000}"/>
    <cellStyle name="Currency 5 7 3 3 2" xfId="13940" xr:uid="{7BBE3154-9334-43CB-9CF3-674B76F3B88B}"/>
    <cellStyle name="Currency 5 7 3 4" xfId="9722" xr:uid="{4171C838-4F2D-4E00-B90D-D1F722C9B2E4}"/>
    <cellStyle name="Currency 5 7 4" xfId="1596" xr:uid="{00000000-0005-0000-0000-0000890D0000}"/>
    <cellStyle name="Currency 5 7 4 2" xfId="3826" xr:uid="{00000000-0005-0000-0000-00008A0D0000}"/>
    <cellStyle name="Currency 5 7 4 2 2" xfId="8048" xr:uid="{00000000-0005-0000-0000-00008B0D0000}"/>
    <cellStyle name="Currency 5 7 4 2 2 2" xfId="16498" xr:uid="{F6BCA662-FCC7-46E4-84B4-7FCAE93953FC}"/>
    <cellStyle name="Currency 5 7 4 2 3" xfId="12280" xr:uid="{20DE628B-A23C-4565-AF77-DF44D77CC6E9}"/>
    <cellStyle name="Currency 5 7 4 3" xfId="5903" xr:uid="{00000000-0005-0000-0000-00008C0D0000}"/>
    <cellStyle name="Currency 5 7 4 3 2" xfId="14353" xr:uid="{2863F82A-BA03-431F-AC60-3C95B0691734}"/>
    <cellStyle name="Currency 5 7 4 4" xfId="10135" xr:uid="{67242A37-1AA5-4FC8-B6F5-8510049A0E07}"/>
    <cellStyle name="Currency 5 7 5" xfId="2010" xr:uid="{00000000-0005-0000-0000-00008D0D0000}"/>
    <cellStyle name="Currency 5 7 5 2" xfId="4239" xr:uid="{00000000-0005-0000-0000-00008E0D0000}"/>
    <cellStyle name="Currency 5 7 5 2 2" xfId="8461" xr:uid="{00000000-0005-0000-0000-00008F0D0000}"/>
    <cellStyle name="Currency 5 7 5 2 2 2" xfId="16911" xr:uid="{3FF245EE-78FD-4429-8621-5A2897C7F0AC}"/>
    <cellStyle name="Currency 5 7 5 2 3" xfId="12693" xr:uid="{551955A5-2C04-48EE-8557-E12E45612D13}"/>
    <cellStyle name="Currency 5 7 5 3" xfId="6316" xr:uid="{00000000-0005-0000-0000-0000900D0000}"/>
    <cellStyle name="Currency 5 7 5 3 2" xfId="14766" xr:uid="{0E1C3634-6363-4D60-B31C-FB3F680F2E66}"/>
    <cellStyle name="Currency 5 7 5 4" xfId="10548" xr:uid="{62316CFC-E0F6-4BF6-BA29-87D8493BF1B2}"/>
    <cellStyle name="Currency 5 7 6" xfId="2445" xr:uid="{00000000-0005-0000-0000-0000910D0000}"/>
    <cellStyle name="Currency 5 7 6 2" xfId="6729" xr:uid="{00000000-0005-0000-0000-0000920D0000}"/>
    <cellStyle name="Currency 5 7 6 2 2" xfId="15179" xr:uid="{DB5EBE0A-B91A-4949-9EDB-D6EA743EE2E1}"/>
    <cellStyle name="Currency 5 7 6 3" xfId="10961" xr:uid="{68D702C9-E884-4AB0-9D1D-F61176A33A03}"/>
    <cellStyle name="Currency 5 7 7" xfId="2742" xr:uid="{00000000-0005-0000-0000-0000930D0000}"/>
    <cellStyle name="Currency 5 7 8" xfId="2823" xr:uid="{00000000-0005-0000-0000-0000940D0000}"/>
    <cellStyle name="Currency 5 7 8 2" xfId="7046" xr:uid="{00000000-0005-0000-0000-0000950D0000}"/>
    <cellStyle name="Currency 5 7 8 2 2" xfId="15496" xr:uid="{7A7EFF35-5CAB-48FC-A79E-542EE2D3274C}"/>
    <cellStyle name="Currency 5 7 8 3" xfId="11278" xr:uid="{F0904BB0-CEC7-4438-8970-6370803FCCA9}"/>
    <cellStyle name="Currency 5 7 9" xfId="4663" xr:uid="{00000000-0005-0000-0000-0000960D0000}"/>
    <cellStyle name="Currency 5 7 9 2" xfId="13113" xr:uid="{196A1DBD-0C77-4DA7-9419-0EFE2F85A7C2}"/>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0 2 2" xfId="15180" xr:uid="{6199E1BD-5C9B-4427-8052-6CDF9462F154}"/>
    <cellStyle name="Normal 12 10 3" xfId="10962" xr:uid="{2660D747-27D1-4BBB-8FA3-188F5A04F726}"/>
    <cellStyle name="Normal 12 11" xfId="4664" xr:uid="{00000000-0005-0000-0000-0000CC0D0000}"/>
    <cellStyle name="Normal 12 11 2" xfId="13114" xr:uid="{CFE4B936-9FFB-44AD-A5DA-0A0BB94E0C23}"/>
    <cellStyle name="Normal 12 12" xfId="8896" xr:uid="{50F2CB15-0925-4D3C-8325-FE5604704A90}"/>
    <cellStyle name="Normal 12 2" xfId="260" xr:uid="{00000000-0005-0000-0000-0000CD0D0000}"/>
    <cellStyle name="Normal 12 2 10" xfId="8897" xr:uid="{35C431C7-8D10-40BD-B365-60A6AD623B2F}"/>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2 2 2" xfId="15676" xr:uid="{E79B3BD3-610C-4444-A3AF-EEAC3F7115B2}"/>
    <cellStyle name="Normal 12 2 2 2 2 2 3" xfId="11458" xr:uid="{A8F6201E-5A60-4E68-9C8D-888C2D885E0F}"/>
    <cellStyle name="Normal 12 2 2 2 2 3" xfId="5081" xr:uid="{00000000-0005-0000-0000-0000D30D0000}"/>
    <cellStyle name="Normal 12 2 2 2 2 3 2" xfId="13531" xr:uid="{47C27012-54C2-47E4-8996-9326D56A2F12}"/>
    <cellStyle name="Normal 12 2 2 2 2 4" xfId="9313" xr:uid="{F65A74BD-C413-47E1-AFE1-A2498E35E085}"/>
    <cellStyle name="Normal 12 2 2 2 3" xfId="1186" xr:uid="{00000000-0005-0000-0000-0000D40D0000}"/>
    <cellStyle name="Normal 12 2 2 2 3 2" xfId="3417" xr:uid="{00000000-0005-0000-0000-0000D50D0000}"/>
    <cellStyle name="Normal 12 2 2 2 3 2 2" xfId="7639" xr:uid="{00000000-0005-0000-0000-0000D60D0000}"/>
    <cellStyle name="Normal 12 2 2 2 3 2 2 2" xfId="16089" xr:uid="{C345CB7D-3E79-4088-A481-8CD2E2669376}"/>
    <cellStyle name="Normal 12 2 2 2 3 2 3" xfId="11871" xr:uid="{93BFA923-AD8E-42CF-97A3-06AB26BD7BC9}"/>
    <cellStyle name="Normal 12 2 2 2 3 3" xfId="5494" xr:uid="{00000000-0005-0000-0000-0000D70D0000}"/>
    <cellStyle name="Normal 12 2 2 2 3 3 2" xfId="13944" xr:uid="{0280EB0A-1B29-459D-9E6F-497402317793}"/>
    <cellStyle name="Normal 12 2 2 2 3 4" xfId="9726" xr:uid="{3EEC24C3-E969-4E2D-99CA-4D2A55454A92}"/>
    <cellStyle name="Normal 12 2 2 2 4" xfId="1600" xr:uid="{00000000-0005-0000-0000-0000D80D0000}"/>
    <cellStyle name="Normal 12 2 2 2 4 2" xfId="3830" xr:uid="{00000000-0005-0000-0000-0000D90D0000}"/>
    <cellStyle name="Normal 12 2 2 2 4 2 2" xfId="8052" xr:uid="{00000000-0005-0000-0000-0000DA0D0000}"/>
    <cellStyle name="Normal 12 2 2 2 4 2 2 2" xfId="16502" xr:uid="{11AA4FA7-9042-4AEF-97DB-3A621BB7666F}"/>
    <cellStyle name="Normal 12 2 2 2 4 2 3" xfId="12284" xr:uid="{64D2BF67-944B-4AE4-B4AD-6EC5599D1FFF}"/>
    <cellStyle name="Normal 12 2 2 2 4 3" xfId="5907" xr:uid="{00000000-0005-0000-0000-0000DB0D0000}"/>
    <cellStyle name="Normal 12 2 2 2 4 3 2" xfId="14357" xr:uid="{EE8516B0-AA70-4AD8-B4D9-7B94BD617543}"/>
    <cellStyle name="Normal 12 2 2 2 4 4" xfId="10139" xr:uid="{4859E0CC-E84A-49C0-AFED-7A3BA3C56B54}"/>
    <cellStyle name="Normal 12 2 2 2 5" xfId="2014" xr:uid="{00000000-0005-0000-0000-0000DC0D0000}"/>
    <cellStyle name="Normal 12 2 2 2 5 2" xfId="4243" xr:uid="{00000000-0005-0000-0000-0000DD0D0000}"/>
    <cellStyle name="Normal 12 2 2 2 5 2 2" xfId="8465" xr:uid="{00000000-0005-0000-0000-0000DE0D0000}"/>
    <cellStyle name="Normal 12 2 2 2 5 2 2 2" xfId="16915" xr:uid="{D960E9DF-E41E-40CA-8722-5B499831EF97}"/>
    <cellStyle name="Normal 12 2 2 2 5 2 3" xfId="12697" xr:uid="{A326F295-D30B-481F-8D05-6F9E6A0F6B36}"/>
    <cellStyle name="Normal 12 2 2 2 5 3" xfId="6320" xr:uid="{00000000-0005-0000-0000-0000DF0D0000}"/>
    <cellStyle name="Normal 12 2 2 2 5 3 2" xfId="14770" xr:uid="{2200D20F-1D8C-49D2-A7D8-F5842B892286}"/>
    <cellStyle name="Normal 12 2 2 2 5 4" xfId="10552" xr:uid="{2C280CE1-A72E-48E7-A2B5-E755EE9B522C}"/>
    <cellStyle name="Normal 12 2 2 2 6" xfId="2450" xr:uid="{00000000-0005-0000-0000-0000E00D0000}"/>
    <cellStyle name="Normal 12 2 2 2 6 2" xfId="6733" xr:uid="{00000000-0005-0000-0000-0000E10D0000}"/>
    <cellStyle name="Normal 12 2 2 2 6 2 2" xfId="15183" xr:uid="{711BEC3B-82B9-467E-A462-110C44296BB8}"/>
    <cellStyle name="Normal 12 2 2 2 6 3" xfId="10965" xr:uid="{5C57614E-9126-4934-B6DA-FBA7837773C5}"/>
    <cellStyle name="Normal 12 2 2 2 7" xfId="4667" xr:uid="{00000000-0005-0000-0000-0000E20D0000}"/>
    <cellStyle name="Normal 12 2 2 2 7 2" xfId="13117" xr:uid="{367EC9E1-FEDE-4757-8151-D6F74F96F654}"/>
    <cellStyle name="Normal 12 2 2 2 8" xfId="8899" xr:uid="{DA5E76CC-0DA8-4CED-85C7-8A79351C72BD}"/>
    <cellStyle name="Normal 12 2 2 3" xfId="762" xr:uid="{00000000-0005-0000-0000-0000E30D0000}"/>
    <cellStyle name="Normal 12 2 2 3 2" xfId="3003" xr:uid="{00000000-0005-0000-0000-0000E40D0000}"/>
    <cellStyle name="Normal 12 2 2 3 2 2" xfId="7225" xr:uid="{00000000-0005-0000-0000-0000E50D0000}"/>
    <cellStyle name="Normal 12 2 2 3 2 2 2" xfId="15675" xr:uid="{CB4A40EB-9C0F-45BB-B7F4-148A92FF320C}"/>
    <cellStyle name="Normal 12 2 2 3 2 3" xfId="11457" xr:uid="{E809E133-F2AA-446F-B306-ACC50EFD1017}"/>
    <cellStyle name="Normal 12 2 2 3 3" xfId="5080" xr:uid="{00000000-0005-0000-0000-0000E60D0000}"/>
    <cellStyle name="Normal 12 2 2 3 3 2" xfId="13530" xr:uid="{F6A6D310-B6DF-4020-A0CD-7F77D8F973F9}"/>
    <cellStyle name="Normal 12 2 2 3 4" xfId="9312" xr:uid="{A37D0DD9-0C13-43E9-920C-4C6980623ED4}"/>
    <cellStyle name="Normal 12 2 2 4" xfId="1185" xr:uid="{00000000-0005-0000-0000-0000E70D0000}"/>
    <cellStyle name="Normal 12 2 2 4 2" xfId="3416" xr:uid="{00000000-0005-0000-0000-0000E80D0000}"/>
    <cellStyle name="Normal 12 2 2 4 2 2" xfId="7638" xr:uid="{00000000-0005-0000-0000-0000E90D0000}"/>
    <cellStyle name="Normal 12 2 2 4 2 2 2" xfId="16088" xr:uid="{BABF8098-8DBD-4596-8FE4-A201FEFD8EF6}"/>
    <cellStyle name="Normal 12 2 2 4 2 3" xfId="11870" xr:uid="{2CEC8A4C-02B1-4E05-B56F-85450C4A8CC6}"/>
    <cellStyle name="Normal 12 2 2 4 3" xfId="5493" xr:uid="{00000000-0005-0000-0000-0000EA0D0000}"/>
    <cellStyle name="Normal 12 2 2 4 3 2" xfId="13943" xr:uid="{A1195165-CA62-44FD-9EC4-F260B0654F64}"/>
    <cellStyle name="Normal 12 2 2 4 4" xfId="9725" xr:uid="{DF2DADFB-C8C1-4A16-96FE-F9C429070819}"/>
    <cellStyle name="Normal 12 2 2 5" xfId="1599" xr:uid="{00000000-0005-0000-0000-0000EB0D0000}"/>
    <cellStyle name="Normal 12 2 2 5 2" xfId="3829" xr:uid="{00000000-0005-0000-0000-0000EC0D0000}"/>
    <cellStyle name="Normal 12 2 2 5 2 2" xfId="8051" xr:uid="{00000000-0005-0000-0000-0000ED0D0000}"/>
    <cellStyle name="Normal 12 2 2 5 2 2 2" xfId="16501" xr:uid="{F81EE204-590E-40E0-A71C-133E7E2061A2}"/>
    <cellStyle name="Normal 12 2 2 5 2 3" xfId="12283" xr:uid="{7A2E3B59-00D3-4CCB-A667-D9999AB6ACA9}"/>
    <cellStyle name="Normal 12 2 2 5 3" xfId="5906" xr:uid="{00000000-0005-0000-0000-0000EE0D0000}"/>
    <cellStyle name="Normal 12 2 2 5 3 2" xfId="14356" xr:uid="{E893B6E3-BB8B-448F-8D1F-1C31534B9C36}"/>
    <cellStyle name="Normal 12 2 2 5 4" xfId="10138" xr:uid="{A7C9C21E-F2AE-4B49-BAF3-AC961887D647}"/>
    <cellStyle name="Normal 12 2 2 6" xfId="2013" xr:uid="{00000000-0005-0000-0000-0000EF0D0000}"/>
    <cellStyle name="Normal 12 2 2 6 2" xfId="4242" xr:uid="{00000000-0005-0000-0000-0000F00D0000}"/>
    <cellStyle name="Normal 12 2 2 6 2 2" xfId="8464" xr:uid="{00000000-0005-0000-0000-0000F10D0000}"/>
    <cellStyle name="Normal 12 2 2 6 2 2 2" xfId="16914" xr:uid="{EA8F31FF-6B5B-4BBC-A369-0556992B2CBF}"/>
    <cellStyle name="Normal 12 2 2 6 2 3" xfId="12696" xr:uid="{55F96845-04D2-448A-9828-DE5EE3C03E00}"/>
    <cellStyle name="Normal 12 2 2 6 3" xfId="6319" xr:uid="{00000000-0005-0000-0000-0000F20D0000}"/>
    <cellStyle name="Normal 12 2 2 6 3 2" xfId="14769" xr:uid="{E8149F97-A703-4C24-B75A-85D38AF05C08}"/>
    <cellStyle name="Normal 12 2 2 6 4" xfId="10551" xr:uid="{32D969E0-4368-4734-BD39-A9CCC8C6AF4A}"/>
    <cellStyle name="Normal 12 2 2 7" xfId="2449" xr:uid="{00000000-0005-0000-0000-0000F30D0000}"/>
    <cellStyle name="Normal 12 2 2 7 2" xfId="6732" xr:uid="{00000000-0005-0000-0000-0000F40D0000}"/>
    <cellStyle name="Normal 12 2 2 7 2 2" xfId="15182" xr:uid="{BFA2D546-DAB5-4B89-B8CC-585F58629C04}"/>
    <cellStyle name="Normal 12 2 2 7 3" xfId="10964" xr:uid="{CDCC0609-CB4B-4BCF-8EEC-1F44AE1DE64C}"/>
    <cellStyle name="Normal 12 2 2 8" xfId="4666" xr:uid="{00000000-0005-0000-0000-0000F50D0000}"/>
    <cellStyle name="Normal 12 2 2 8 2" xfId="13116" xr:uid="{4E7A3A76-AC51-49AA-8EA4-4ACCDD95BBF8}"/>
    <cellStyle name="Normal 12 2 2 9" xfId="8898" xr:uid="{3BF6EF44-90DA-4D4A-9B55-E0C9E889A18C}"/>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2 2 2" xfId="15677" xr:uid="{7F3C5A7D-DB7A-41BC-913A-8AB422B0C0CC}"/>
    <cellStyle name="Normal 12 2 3 2 2 3" xfId="11459" xr:uid="{775D9605-5F09-488D-B035-836A64F9B8E7}"/>
    <cellStyle name="Normal 12 2 3 2 3" xfId="5082" xr:uid="{00000000-0005-0000-0000-0000FA0D0000}"/>
    <cellStyle name="Normal 12 2 3 2 3 2" xfId="13532" xr:uid="{F50CECC1-58C4-4BA8-A67A-6D073DD8185F}"/>
    <cellStyle name="Normal 12 2 3 2 4" xfId="9314" xr:uid="{CA194655-4191-479D-BA4E-441139C15AF0}"/>
    <cellStyle name="Normal 12 2 3 3" xfId="1187" xr:uid="{00000000-0005-0000-0000-0000FB0D0000}"/>
    <cellStyle name="Normal 12 2 3 3 2" xfId="3418" xr:uid="{00000000-0005-0000-0000-0000FC0D0000}"/>
    <cellStyle name="Normal 12 2 3 3 2 2" xfId="7640" xr:uid="{00000000-0005-0000-0000-0000FD0D0000}"/>
    <cellStyle name="Normal 12 2 3 3 2 2 2" xfId="16090" xr:uid="{AD205484-644D-48F1-A276-B2CB8180AB90}"/>
    <cellStyle name="Normal 12 2 3 3 2 3" xfId="11872" xr:uid="{B62BF896-A7F9-4C37-97A8-F82E3C21BBE9}"/>
    <cellStyle name="Normal 12 2 3 3 3" xfId="5495" xr:uid="{00000000-0005-0000-0000-0000FE0D0000}"/>
    <cellStyle name="Normal 12 2 3 3 3 2" xfId="13945" xr:uid="{2B7981FD-83A8-4944-9E62-E16379C4EE0F}"/>
    <cellStyle name="Normal 12 2 3 3 4" xfId="9727" xr:uid="{93FC7FD5-F2B4-42E7-B7E4-44E57084F190}"/>
    <cellStyle name="Normal 12 2 3 4" xfId="1601" xr:uid="{00000000-0005-0000-0000-0000FF0D0000}"/>
    <cellStyle name="Normal 12 2 3 4 2" xfId="3831" xr:uid="{00000000-0005-0000-0000-0000000E0000}"/>
    <cellStyle name="Normal 12 2 3 4 2 2" xfId="8053" xr:uid="{00000000-0005-0000-0000-0000010E0000}"/>
    <cellStyle name="Normal 12 2 3 4 2 2 2" xfId="16503" xr:uid="{84858E55-2557-4FBF-8564-32DE38893BE6}"/>
    <cellStyle name="Normal 12 2 3 4 2 3" xfId="12285" xr:uid="{A383EA42-EF7E-4736-B0B9-C6E8C9F6855B}"/>
    <cellStyle name="Normal 12 2 3 4 3" xfId="5908" xr:uid="{00000000-0005-0000-0000-0000020E0000}"/>
    <cellStyle name="Normal 12 2 3 4 3 2" xfId="14358" xr:uid="{FF79E52B-9295-421A-B6CF-4D7F46EBFC23}"/>
    <cellStyle name="Normal 12 2 3 4 4" xfId="10140" xr:uid="{5B9DAB9D-B258-4626-84D5-A510D85C2F82}"/>
    <cellStyle name="Normal 12 2 3 5" xfId="2015" xr:uid="{00000000-0005-0000-0000-0000030E0000}"/>
    <cellStyle name="Normal 12 2 3 5 2" xfId="4244" xr:uid="{00000000-0005-0000-0000-0000040E0000}"/>
    <cellStyle name="Normal 12 2 3 5 2 2" xfId="8466" xr:uid="{00000000-0005-0000-0000-0000050E0000}"/>
    <cellStyle name="Normal 12 2 3 5 2 2 2" xfId="16916" xr:uid="{12017234-E2B6-44B0-8261-4EB010E87B83}"/>
    <cellStyle name="Normal 12 2 3 5 2 3" xfId="12698" xr:uid="{635FC50D-4688-4152-BABE-AA825910C4B1}"/>
    <cellStyle name="Normal 12 2 3 5 3" xfId="6321" xr:uid="{00000000-0005-0000-0000-0000060E0000}"/>
    <cellStyle name="Normal 12 2 3 5 3 2" xfId="14771" xr:uid="{815DC413-D585-4D3B-8430-FBEABE235279}"/>
    <cellStyle name="Normal 12 2 3 5 4" xfId="10553" xr:uid="{40356C57-1969-475F-B8C4-0DC2CC1E5210}"/>
    <cellStyle name="Normal 12 2 3 6" xfId="2451" xr:uid="{00000000-0005-0000-0000-0000070E0000}"/>
    <cellStyle name="Normal 12 2 3 6 2" xfId="6734" xr:uid="{00000000-0005-0000-0000-0000080E0000}"/>
    <cellStyle name="Normal 12 2 3 6 2 2" xfId="15184" xr:uid="{2DA22625-93A5-410C-ABAC-BE58E680D4B7}"/>
    <cellStyle name="Normal 12 2 3 6 3" xfId="10966" xr:uid="{07C74620-64E0-4501-8273-A5120B9FA64E}"/>
    <cellStyle name="Normal 12 2 3 7" xfId="4668" xr:uid="{00000000-0005-0000-0000-0000090E0000}"/>
    <cellStyle name="Normal 12 2 3 7 2" xfId="13118" xr:uid="{EB7D7462-7932-4911-86A6-E64BDB09E7DF}"/>
    <cellStyle name="Normal 12 2 3 8" xfId="8900" xr:uid="{2AAA5FF8-8899-43F6-9A6A-597B94CCF04B}"/>
    <cellStyle name="Normal 12 2 4" xfId="761" xr:uid="{00000000-0005-0000-0000-00000A0E0000}"/>
    <cellStyle name="Normal 12 2 4 2" xfId="3002" xr:uid="{00000000-0005-0000-0000-00000B0E0000}"/>
    <cellStyle name="Normal 12 2 4 2 2" xfId="7224" xr:uid="{00000000-0005-0000-0000-00000C0E0000}"/>
    <cellStyle name="Normal 12 2 4 2 2 2" xfId="15674" xr:uid="{CE8E5713-1DB0-4759-8758-8124F31433B6}"/>
    <cellStyle name="Normal 12 2 4 2 3" xfId="11456" xr:uid="{A2F16D8F-4046-405C-AAD6-DC9832D14457}"/>
    <cellStyle name="Normal 12 2 4 3" xfId="5079" xr:uid="{00000000-0005-0000-0000-00000D0E0000}"/>
    <cellStyle name="Normal 12 2 4 3 2" xfId="13529" xr:uid="{60070501-215A-47A2-A3F2-F0C99884579E}"/>
    <cellStyle name="Normal 12 2 4 4" xfId="9311" xr:uid="{66CC3349-557B-47F9-8A96-C00692AD53D0}"/>
    <cellStyle name="Normal 12 2 5" xfId="1184" xr:uid="{00000000-0005-0000-0000-00000E0E0000}"/>
    <cellStyle name="Normal 12 2 5 2" xfId="3415" xr:uid="{00000000-0005-0000-0000-00000F0E0000}"/>
    <cellStyle name="Normal 12 2 5 2 2" xfId="7637" xr:uid="{00000000-0005-0000-0000-0000100E0000}"/>
    <cellStyle name="Normal 12 2 5 2 2 2" xfId="16087" xr:uid="{0AA1F5C3-7A4F-42A9-9211-3398C2CB7E41}"/>
    <cellStyle name="Normal 12 2 5 2 3" xfId="11869" xr:uid="{7D0CA9AA-DCF3-43C0-B9D6-47D1DB01CDAF}"/>
    <cellStyle name="Normal 12 2 5 3" xfId="5492" xr:uid="{00000000-0005-0000-0000-0000110E0000}"/>
    <cellStyle name="Normal 12 2 5 3 2" xfId="13942" xr:uid="{0FD2F769-51BC-4265-AA28-E07C9157B47D}"/>
    <cellStyle name="Normal 12 2 5 4" xfId="9724" xr:uid="{397710D5-5B67-40F7-9265-DB754F55BE69}"/>
    <cellStyle name="Normal 12 2 6" xfId="1598" xr:uid="{00000000-0005-0000-0000-0000120E0000}"/>
    <cellStyle name="Normal 12 2 6 2" xfId="3828" xr:uid="{00000000-0005-0000-0000-0000130E0000}"/>
    <cellStyle name="Normal 12 2 6 2 2" xfId="8050" xr:uid="{00000000-0005-0000-0000-0000140E0000}"/>
    <cellStyle name="Normal 12 2 6 2 2 2" xfId="16500" xr:uid="{993744A2-DDC1-42BB-993D-CB2690E53391}"/>
    <cellStyle name="Normal 12 2 6 2 3" xfId="12282" xr:uid="{00437AD1-9A89-40F3-8AEC-9FD88F9B8E74}"/>
    <cellStyle name="Normal 12 2 6 3" xfId="5905" xr:uid="{00000000-0005-0000-0000-0000150E0000}"/>
    <cellStyle name="Normal 12 2 6 3 2" xfId="14355" xr:uid="{59C31F0B-C26F-4129-B1FB-891A85B40CFE}"/>
    <cellStyle name="Normal 12 2 6 4" xfId="10137" xr:uid="{AD07FB40-8F68-4902-B1C8-FF812FEE3D63}"/>
    <cellStyle name="Normal 12 2 7" xfId="2012" xr:uid="{00000000-0005-0000-0000-0000160E0000}"/>
    <cellStyle name="Normal 12 2 7 2" xfId="4241" xr:uid="{00000000-0005-0000-0000-0000170E0000}"/>
    <cellStyle name="Normal 12 2 7 2 2" xfId="8463" xr:uid="{00000000-0005-0000-0000-0000180E0000}"/>
    <cellStyle name="Normal 12 2 7 2 2 2" xfId="16913" xr:uid="{CE24284F-8638-49AB-B7BE-2162606421A5}"/>
    <cellStyle name="Normal 12 2 7 2 3" xfId="12695" xr:uid="{B0BC6308-D5F3-4823-9806-B78784424C74}"/>
    <cellStyle name="Normal 12 2 7 3" xfId="6318" xr:uid="{00000000-0005-0000-0000-0000190E0000}"/>
    <cellStyle name="Normal 12 2 7 3 2" xfId="14768" xr:uid="{AFA06052-AA12-44BA-89C7-4586587EC20F}"/>
    <cellStyle name="Normal 12 2 7 4" xfId="10550" xr:uid="{76A72372-23C5-401A-9B91-08F84E373C6A}"/>
    <cellStyle name="Normal 12 2 8" xfId="2448" xr:uid="{00000000-0005-0000-0000-00001A0E0000}"/>
    <cellStyle name="Normal 12 2 8 2" xfId="6731" xr:uid="{00000000-0005-0000-0000-00001B0E0000}"/>
    <cellStyle name="Normal 12 2 8 2 2" xfId="15181" xr:uid="{91758A48-2368-4EF2-B5E3-F38D2DC1AC91}"/>
    <cellStyle name="Normal 12 2 8 3" xfId="10963" xr:uid="{66A6201A-B411-420E-8097-0AFED1F6621D}"/>
    <cellStyle name="Normal 12 2 9" xfId="4665" xr:uid="{00000000-0005-0000-0000-00001C0E0000}"/>
    <cellStyle name="Normal 12 2 9 2" xfId="13115" xr:uid="{1DB49ACC-A051-4563-9003-0A72B2BAF98E}"/>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2 2 2" xfId="15679" xr:uid="{298A48D9-41AC-48B5-B1AD-93AAF95E062C}"/>
    <cellStyle name="Normal 12 3 2 2 2 3" xfId="11461" xr:uid="{F0695AD4-A8B7-4237-808F-25625C74B6C8}"/>
    <cellStyle name="Normal 12 3 2 2 3" xfId="5084" xr:uid="{00000000-0005-0000-0000-0000220E0000}"/>
    <cellStyle name="Normal 12 3 2 2 3 2" xfId="13534" xr:uid="{350CA2A5-71E8-4322-9FE0-BC6001940A0E}"/>
    <cellStyle name="Normal 12 3 2 2 4" xfId="9316" xr:uid="{D4F3EA8B-831D-44AE-AEF2-7A1C7A977046}"/>
    <cellStyle name="Normal 12 3 2 3" xfId="1189" xr:uid="{00000000-0005-0000-0000-0000230E0000}"/>
    <cellStyle name="Normal 12 3 2 3 2" xfId="3420" xr:uid="{00000000-0005-0000-0000-0000240E0000}"/>
    <cellStyle name="Normal 12 3 2 3 2 2" xfId="7642" xr:uid="{00000000-0005-0000-0000-0000250E0000}"/>
    <cellStyle name="Normal 12 3 2 3 2 2 2" xfId="16092" xr:uid="{761F03D3-3CA2-4C26-8474-3F67DB680130}"/>
    <cellStyle name="Normal 12 3 2 3 2 3" xfId="11874" xr:uid="{32AB479C-CAAA-44D6-8949-66A6B154E7DC}"/>
    <cellStyle name="Normal 12 3 2 3 3" xfId="5497" xr:uid="{00000000-0005-0000-0000-0000260E0000}"/>
    <cellStyle name="Normal 12 3 2 3 3 2" xfId="13947" xr:uid="{EA4AC99B-7584-4103-BCC9-85DCE611DFF6}"/>
    <cellStyle name="Normal 12 3 2 3 4" xfId="9729" xr:uid="{26C3F3FD-A585-4752-AB33-BA9E4BEC3D3B}"/>
    <cellStyle name="Normal 12 3 2 4" xfId="1603" xr:uid="{00000000-0005-0000-0000-0000270E0000}"/>
    <cellStyle name="Normal 12 3 2 4 2" xfId="3833" xr:uid="{00000000-0005-0000-0000-0000280E0000}"/>
    <cellStyle name="Normal 12 3 2 4 2 2" xfId="8055" xr:uid="{00000000-0005-0000-0000-0000290E0000}"/>
    <cellStyle name="Normal 12 3 2 4 2 2 2" xfId="16505" xr:uid="{A0718B94-7B81-43D4-BBE6-00815703734E}"/>
    <cellStyle name="Normal 12 3 2 4 2 3" xfId="12287" xr:uid="{0874C79C-F5CF-4A12-83E9-EFFBDEC46AEF}"/>
    <cellStyle name="Normal 12 3 2 4 3" xfId="5910" xr:uid="{00000000-0005-0000-0000-00002A0E0000}"/>
    <cellStyle name="Normal 12 3 2 4 3 2" xfId="14360" xr:uid="{8CAC5270-A724-4542-9E77-449FC2C45B31}"/>
    <cellStyle name="Normal 12 3 2 4 4" xfId="10142" xr:uid="{50D50CD5-21DB-4298-9882-FD5AA51FDF5A}"/>
    <cellStyle name="Normal 12 3 2 5" xfId="2017" xr:uid="{00000000-0005-0000-0000-00002B0E0000}"/>
    <cellStyle name="Normal 12 3 2 5 2" xfId="4246" xr:uid="{00000000-0005-0000-0000-00002C0E0000}"/>
    <cellStyle name="Normal 12 3 2 5 2 2" xfId="8468" xr:uid="{00000000-0005-0000-0000-00002D0E0000}"/>
    <cellStyle name="Normal 12 3 2 5 2 2 2" xfId="16918" xr:uid="{1C15C1C7-FDFB-4BC3-B210-37607364833A}"/>
    <cellStyle name="Normal 12 3 2 5 2 3" xfId="12700" xr:uid="{9D24F956-3434-4038-AE1A-1F99A21D3E54}"/>
    <cellStyle name="Normal 12 3 2 5 3" xfId="6323" xr:uid="{00000000-0005-0000-0000-00002E0E0000}"/>
    <cellStyle name="Normal 12 3 2 5 3 2" xfId="14773" xr:uid="{E9D9EC76-56A0-4618-92F7-2A1DDF8382FE}"/>
    <cellStyle name="Normal 12 3 2 5 4" xfId="10555" xr:uid="{A6B8CD86-C31E-4369-9DCC-E17C60557914}"/>
    <cellStyle name="Normal 12 3 2 6" xfId="2453" xr:uid="{00000000-0005-0000-0000-00002F0E0000}"/>
    <cellStyle name="Normal 12 3 2 6 2" xfId="6736" xr:uid="{00000000-0005-0000-0000-0000300E0000}"/>
    <cellStyle name="Normal 12 3 2 6 2 2" xfId="15186" xr:uid="{0D2D1FC0-21B3-436E-BD4A-CDF79C687CF2}"/>
    <cellStyle name="Normal 12 3 2 6 3" xfId="10968" xr:uid="{D3241B16-F796-4065-B456-8AEA4B38A03A}"/>
    <cellStyle name="Normal 12 3 2 7" xfId="4670" xr:uid="{00000000-0005-0000-0000-0000310E0000}"/>
    <cellStyle name="Normal 12 3 2 7 2" xfId="13120" xr:uid="{736B23E1-BFE0-45E0-B7BE-3AA93EB38AD5}"/>
    <cellStyle name="Normal 12 3 2 8" xfId="8902" xr:uid="{B0E5FB3B-A79A-4E6F-B9B9-BAFF35BB8BE5}"/>
    <cellStyle name="Normal 12 3 3" xfId="765" xr:uid="{00000000-0005-0000-0000-0000320E0000}"/>
    <cellStyle name="Normal 12 3 3 2" xfId="3006" xr:uid="{00000000-0005-0000-0000-0000330E0000}"/>
    <cellStyle name="Normal 12 3 3 2 2" xfId="7228" xr:uid="{00000000-0005-0000-0000-0000340E0000}"/>
    <cellStyle name="Normal 12 3 3 2 2 2" xfId="15678" xr:uid="{26B15F08-34CC-46C5-BC80-E11481052E5E}"/>
    <cellStyle name="Normal 12 3 3 2 3" xfId="11460" xr:uid="{4DF06370-B5B0-481C-80BF-33FF821B565C}"/>
    <cellStyle name="Normal 12 3 3 3" xfId="5083" xr:uid="{00000000-0005-0000-0000-0000350E0000}"/>
    <cellStyle name="Normal 12 3 3 3 2" xfId="13533" xr:uid="{87A0BA5A-B24A-46BC-8DFD-78EBDAA14E34}"/>
    <cellStyle name="Normal 12 3 3 4" xfId="9315" xr:uid="{4E6E895A-906B-4BF8-B1CD-70E2956D8739}"/>
    <cellStyle name="Normal 12 3 4" xfId="1188" xr:uid="{00000000-0005-0000-0000-0000360E0000}"/>
    <cellStyle name="Normal 12 3 4 2" xfId="3419" xr:uid="{00000000-0005-0000-0000-0000370E0000}"/>
    <cellStyle name="Normal 12 3 4 2 2" xfId="7641" xr:uid="{00000000-0005-0000-0000-0000380E0000}"/>
    <cellStyle name="Normal 12 3 4 2 2 2" xfId="16091" xr:uid="{A64E647F-7B7E-453C-9BBE-44ADAB00320C}"/>
    <cellStyle name="Normal 12 3 4 2 3" xfId="11873" xr:uid="{EFDC6F4A-B1E7-40F7-9807-8B8B42F5801E}"/>
    <cellStyle name="Normal 12 3 4 3" xfId="5496" xr:uid="{00000000-0005-0000-0000-0000390E0000}"/>
    <cellStyle name="Normal 12 3 4 3 2" xfId="13946" xr:uid="{B609615E-9AD7-4AB1-8B02-68074BF91A2B}"/>
    <cellStyle name="Normal 12 3 4 4" xfId="9728" xr:uid="{FF9B01D7-9EC8-424C-8260-A1BB4DB18D68}"/>
    <cellStyle name="Normal 12 3 5" xfId="1602" xr:uid="{00000000-0005-0000-0000-00003A0E0000}"/>
    <cellStyle name="Normal 12 3 5 2" xfId="3832" xr:uid="{00000000-0005-0000-0000-00003B0E0000}"/>
    <cellStyle name="Normal 12 3 5 2 2" xfId="8054" xr:uid="{00000000-0005-0000-0000-00003C0E0000}"/>
    <cellStyle name="Normal 12 3 5 2 2 2" xfId="16504" xr:uid="{CE04CB68-5789-4882-A773-912D37DF16A2}"/>
    <cellStyle name="Normal 12 3 5 2 3" xfId="12286" xr:uid="{5F9C612A-A3AF-42EE-AC55-D9F67C6D249E}"/>
    <cellStyle name="Normal 12 3 5 3" xfId="5909" xr:uid="{00000000-0005-0000-0000-00003D0E0000}"/>
    <cellStyle name="Normal 12 3 5 3 2" xfId="14359" xr:uid="{25720346-C10A-4DFB-9D23-997362A42979}"/>
    <cellStyle name="Normal 12 3 5 4" xfId="10141" xr:uid="{C3177412-5C80-4EEF-BE6E-8C84465EE3B2}"/>
    <cellStyle name="Normal 12 3 6" xfId="2016" xr:uid="{00000000-0005-0000-0000-00003E0E0000}"/>
    <cellStyle name="Normal 12 3 6 2" xfId="4245" xr:uid="{00000000-0005-0000-0000-00003F0E0000}"/>
    <cellStyle name="Normal 12 3 6 2 2" xfId="8467" xr:uid="{00000000-0005-0000-0000-0000400E0000}"/>
    <cellStyle name="Normal 12 3 6 2 2 2" xfId="16917" xr:uid="{C2F9D75A-ADF8-425D-B7A4-20FFCC6C46DC}"/>
    <cellStyle name="Normal 12 3 6 2 3" xfId="12699" xr:uid="{12546F27-072A-416A-B57D-8F8B7CE3F7D6}"/>
    <cellStyle name="Normal 12 3 6 3" xfId="6322" xr:uid="{00000000-0005-0000-0000-0000410E0000}"/>
    <cellStyle name="Normal 12 3 6 3 2" xfId="14772" xr:uid="{7B4C2A47-33A7-480B-89E5-78FBF3FD54DE}"/>
    <cellStyle name="Normal 12 3 6 4" xfId="10554" xr:uid="{6B963D3D-2F7F-4311-B54B-B08E862A5058}"/>
    <cellStyle name="Normal 12 3 7" xfId="2452" xr:uid="{00000000-0005-0000-0000-0000420E0000}"/>
    <cellStyle name="Normal 12 3 7 2" xfId="6735" xr:uid="{00000000-0005-0000-0000-0000430E0000}"/>
    <cellStyle name="Normal 12 3 7 2 2" xfId="15185" xr:uid="{03EEDF82-AEEC-4DB2-9E68-DCE01253EC67}"/>
    <cellStyle name="Normal 12 3 7 3" xfId="10967" xr:uid="{8D152674-30FD-4766-80CF-C6C3358EB501}"/>
    <cellStyle name="Normal 12 3 8" xfId="4669" xr:uid="{00000000-0005-0000-0000-0000440E0000}"/>
    <cellStyle name="Normal 12 3 8 2" xfId="13119" xr:uid="{9EA005A3-0D34-4BA9-8A2E-70D378DA34A8}"/>
    <cellStyle name="Normal 12 3 9" xfId="8901" xr:uid="{DAC5FC3B-D7AA-42E7-B806-DB42FC3DA3E4}"/>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2 2 2" xfId="15680" xr:uid="{6F01B8BE-46FA-445E-AAF0-BF7A4FC88AD9}"/>
    <cellStyle name="Normal 12 4 2 2 3" xfId="11462" xr:uid="{4A50D525-77F3-45C3-8974-6AEC2A37754D}"/>
    <cellStyle name="Normal 12 4 2 3" xfId="5085" xr:uid="{00000000-0005-0000-0000-0000490E0000}"/>
    <cellStyle name="Normal 12 4 2 3 2" xfId="13535" xr:uid="{6B4ABE40-C943-44FA-9693-13D6F4E0BAB3}"/>
    <cellStyle name="Normal 12 4 2 4" xfId="9317" xr:uid="{7C3EA1EE-D8A5-4A0A-8F0C-4C491195CC89}"/>
    <cellStyle name="Normal 12 4 3" xfId="1190" xr:uid="{00000000-0005-0000-0000-00004A0E0000}"/>
    <cellStyle name="Normal 12 4 3 2" xfId="3421" xr:uid="{00000000-0005-0000-0000-00004B0E0000}"/>
    <cellStyle name="Normal 12 4 3 2 2" xfId="7643" xr:uid="{00000000-0005-0000-0000-00004C0E0000}"/>
    <cellStyle name="Normal 12 4 3 2 2 2" xfId="16093" xr:uid="{45BC162F-88F3-4D87-87C5-4B4959341A82}"/>
    <cellStyle name="Normal 12 4 3 2 3" xfId="11875" xr:uid="{700DFF56-EBE7-4726-9846-3719631CED5C}"/>
    <cellStyle name="Normal 12 4 3 3" xfId="5498" xr:uid="{00000000-0005-0000-0000-00004D0E0000}"/>
    <cellStyle name="Normal 12 4 3 3 2" xfId="13948" xr:uid="{42C54596-468D-431C-9D0A-F9811A25BF29}"/>
    <cellStyle name="Normal 12 4 3 4" xfId="9730" xr:uid="{E81712DA-16E7-4868-A242-76C812251AA6}"/>
    <cellStyle name="Normal 12 4 4" xfId="1604" xr:uid="{00000000-0005-0000-0000-00004E0E0000}"/>
    <cellStyle name="Normal 12 4 4 2" xfId="3834" xr:uid="{00000000-0005-0000-0000-00004F0E0000}"/>
    <cellStyle name="Normal 12 4 4 2 2" xfId="8056" xr:uid="{00000000-0005-0000-0000-0000500E0000}"/>
    <cellStyle name="Normal 12 4 4 2 2 2" xfId="16506" xr:uid="{41A56496-E308-4E46-9A7E-68A68C263F53}"/>
    <cellStyle name="Normal 12 4 4 2 3" xfId="12288" xr:uid="{15CD3FB4-1D7D-4C38-A819-5BED665DC41C}"/>
    <cellStyle name="Normal 12 4 4 3" xfId="5911" xr:uid="{00000000-0005-0000-0000-0000510E0000}"/>
    <cellStyle name="Normal 12 4 4 3 2" xfId="14361" xr:uid="{0BF34B98-2C13-4CC7-844B-335C24690C20}"/>
    <cellStyle name="Normal 12 4 4 4" xfId="10143" xr:uid="{72AF222F-C0EA-4976-B491-787AF30C4DDC}"/>
    <cellStyle name="Normal 12 4 5" xfId="2018" xr:uid="{00000000-0005-0000-0000-0000520E0000}"/>
    <cellStyle name="Normal 12 4 5 2" xfId="4247" xr:uid="{00000000-0005-0000-0000-0000530E0000}"/>
    <cellStyle name="Normal 12 4 5 2 2" xfId="8469" xr:uid="{00000000-0005-0000-0000-0000540E0000}"/>
    <cellStyle name="Normal 12 4 5 2 2 2" xfId="16919" xr:uid="{66ED03ED-827D-4BE1-BBF5-FD262544ECE6}"/>
    <cellStyle name="Normal 12 4 5 2 3" xfId="12701" xr:uid="{70395B50-4C78-4626-B89E-43A523103279}"/>
    <cellStyle name="Normal 12 4 5 3" xfId="6324" xr:uid="{00000000-0005-0000-0000-0000550E0000}"/>
    <cellStyle name="Normal 12 4 5 3 2" xfId="14774" xr:uid="{10637CA6-126F-4934-BA8D-1597C8648E45}"/>
    <cellStyle name="Normal 12 4 5 4" xfId="10556" xr:uid="{C4222F65-ADDF-4C77-B395-22499817EAA9}"/>
    <cellStyle name="Normal 12 4 6" xfId="2454" xr:uid="{00000000-0005-0000-0000-0000560E0000}"/>
    <cellStyle name="Normal 12 4 6 2" xfId="6737" xr:uid="{00000000-0005-0000-0000-0000570E0000}"/>
    <cellStyle name="Normal 12 4 6 2 2" xfId="15187" xr:uid="{91FEFF10-33DD-4515-9DEA-BF28B2657D8C}"/>
    <cellStyle name="Normal 12 4 6 3" xfId="10969" xr:uid="{60EE1E5A-B96D-4A54-8941-6FBA86DCA2D0}"/>
    <cellStyle name="Normal 12 4 7" xfId="4671" xr:uid="{00000000-0005-0000-0000-0000580E0000}"/>
    <cellStyle name="Normal 12 4 7 2" xfId="13121" xr:uid="{95E03192-06F2-4248-90BF-DAA908C77A84}"/>
    <cellStyle name="Normal 12 4 8" xfId="8903" xr:uid="{8550C76C-9B45-4831-9FA1-0DABBEF0554D}"/>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2 2 2" xfId="15673" xr:uid="{9060422E-E3F6-4F85-AA60-A79C841767EF}"/>
    <cellStyle name="Normal 12 6 2 3" xfId="11455" xr:uid="{DE91E750-B38E-44FE-BCB3-DFB12FD54586}"/>
    <cellStyle name="Normal 12 6 3" xfId="5078" xr:uid="{00000000-0005-0000-0000-00005D0E0000}"/>
    <cellStyle name="Normal 12 6 3 2" xfId="13528" xr:uid="{CE3AC8B4-3CA0-4C68-9267-10CEB4260818}"/>
    <cellStyle name="Normal 12 6 4" xfId="9310" xr:uid="{D42046D0-78FB-44BE-B3E9-2455EBA8E1F6}"/>
    <cellStyle name="Normal 12 7" xfId="1183" xr:uid="{00000000-0005-0000-0000-00005E0E0000}"/>
    <cellStyle name="Normal 12 7 2" xfId="3414" xr:uid="{00000000-0005-0000-0000-00005F0E0000}"/>
    <cellStyle name="Normal 12 7 2 2" xfId="7636" xr:uid="{00000000-0005-0000-0000-0000600E0000}"/>
    <cellStyle name="Normal 12 7 2 2 2" xfId="16086" xr:uid="{4218CFF0-A6EA-4A0B-91F9-7DF316CB824A}"/>
    <cellStyle name="Normal 12 7 2 3" xfId="11868" xr:uid="{3DB115A0-C11B-46A0-9790-7B91CDE7C87B}"/>
    <cellStyle name="Normal 12 7 3" xfId="5491" xr:uid="{00000000-0005-0000-0000-0000610E0000}"/>
    <cellStyle name="Normal 12 7 3 2" xfId="13941" xr:uid="{838C5CB4-0DB4-40EB-A41C-A5C4E2935B67}"/>
    <cellStyle name="Normal 12 7 4" xfId="9723" xr:uid="{FB1124E8-A4D5-4F81-B18D-C76CE63C1234}"/>
    <cellStyle name="Normal 12 8" xfId="1597" xr:uid="{00000000-0005-0000-0000-0000620E0000}"/>
    <cellStyle name="Normal 12 8 2" xfId="3827" xr:uid="{00000000-0005-0000-0000-0000630E0000}"/>
    <cellStyle name="Normal 12 8 2 2" xfId="8049" xr:uid="{00000000-0005-0000-0000-0000640E0000}"/>
    <cellStyle name="Normal 12 8 2 2 2" xfId="16499" xr:uid="{6C523A26-B78D-482B-B138-6CFA3754F091}"/>
    <cellStyle name="Normal 12 8 2 3" xfId="12281" xr:uid="{BC461B67-6593-481E-A9E3-BD50FE953FA6}"/>
    <cellStyle name="Normal 12 8 3" xfId="5904" xr:uid="{00000000-0005-0000-0000-0000650E0000}"/>
    <cellStyle name="Normal 12 8 3 2" xfId="14354" xr:uid="{552B6E43-AFBA-4AD1-908A-C8F79BB51863}"/>
    <cellStyle name="Normal 12 8 4" xfId="10136" xr:uid="{A41B8FD1-ADED-4081-90DC-13A0C53EEBE1}"/>
    <cellStyle name="Normal 12 9" xfId="2011" xr:uid="{00000000-0005-0000-0000-0000660E0000}"/>
    <cellStyle name="Normal 12 9 2" xfId="4240" xr:uid="{00000000-0005-0000-0000-0000670E0000}"/>
    <cellStyle name="Normal 12 9 2 2" xfId="8462" xr:uid="{00000000-0005-0000-0000-0000680E0000}"/>
    <cellStyle name="Normal 12 9 2 2 2" xfId="16912" xr:uid="{1377C1B2-CA7D-405E-AB84-2C29C14653D4}"/>
    <cellStyle name="Normal 12 9 2 3" xfId="12694" xr:uid="{A2A83D4F-523F-4E64-9C7B-6B025868727B}"/>
    <cellStyle name="Normal 12 9 3" xfId="6317" xr:uid="{00000000-0005-0000-0000-0000690E0000}"/>
    <cellStyle name="Normal 12 9 3 2" xfId="14767" xr:uid="{A7F1EC4F-67D8-48B2-9CD8-9FC94712E5D3}"/>
    <cellStyle name="Normal 12 9 4" xfId="10549" xr:uid="{63F46643-1A06-43F0-956F-C7778883E9FC}"/>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2 2 2" xfId="15681" xr:uid="{70E42160-1EF8-4531-B129-04EEED4612C4}"/>
    <cellStyle name="Normal 14 2 2 3" xfId="11463" xr:uid="{CEDD7E51-70A2-4A9E-990F-3A11ACE4F734}"/>
    <cellStyle name="Normal 14 2 3" xfId="5086" xr:uid="{00000000-0005-0000-0000-0000700E0000}"/>
    <cellStyle name="Normal 14 2 3 2" xfId="13536" xr:uid="{E1BA0DF5-CABC-4D0A-BB27-5F37C9679908}"/>
    <cellStyle name="Normal 14 2 4" xfId="9318" xr:uid="{15A072EA-F9D9-4E9C-887F-B64F273597CE}"/>
    <cellStyle name="Normal 14 3" xfId="1191" xr:uid="{00000000-0005-0000-0000-0000710E0000}"/>
    <cellStyle name="Normal 14 3 2" xfId="3422" xr:uid="{00000000-0005-0000-0000-0000720E0000}"/>
    <cellStyle name="Normal 14 3 2 2" xfId="7644" xr:uid="{00000000-0005-0000-0000-0000730E0000}"/>
    <cellStyle name="Normal 14 3 2 2 2" xfId="16094" xr:uid="{54FEBD11-A669-46F2-96DC-9F51BBFF4C9D}"/>
    <cellStyle name="Normal 14 3 2 3" xfId="11876" xr:uid="{C0F7C012-0709-4E72-989A-FA57A6E14E5C}"/>
    <cellStyle name="Normal 14 3 3" xfId="5499" xr:uid="{00000000-0005-0000-0000-0000740E0000}"/>
    <cellStyle name="Normal 14 3 3 2" xfId="13949" xr:uid="{5D6403DE-2F5D-4DA3-A078-F2C6DE9E2318}"/>
    <cellStyle name="Normal 14 3 4" xfId="9731" xr:uid="{B7CD7586-0878-4676-AC07-4C7B3D6D0C2C}"/>
    <cellStyle name="Normal 14 4" xfId="1605" xr:uid="{00000000-0005-0000-0000-0000750E0000}"/>
    <cellStyle name="Normal 14 4 2" xfId="3835" xr:uid="{00000000-0005-0000-0000-0000760E0000}"/>
    <cellStyle name="Normal 14 4 2 2" xfId="8057" xr:uid="{00000000-0005-0000-0000-0000770E0000}"/>
    <cellStyle name="Normal 14 4 2 2 2" xfId="16507" xr:uid="{A6088477-B656-4C9F-B169-028E553BF25C}"/>
    <cellStyle name="Normal 14 4 2 3" xfId="12289" xr:uid="{C73FE466-7740-45FE-8FE1-F0C40F9CF3D1}"/>
    <cellStyle name="Normal 14 4 3" xfId="5912" xr:uid="{00000000-0005-0000-0000-0000780E0000}"/>
    <cellStyle name="Normal 14 4 3 2" xfId="14362" xr:uid="{6FE43A90-877D-4F8D-9EC3-3C09F58B4D87}"/>
    <cellStyle name="Normal 14 4 4" xfId="10144" xr:uid="{8EE32DFC-4BF3-43CD-8636-FD4836508923}"/>
    <cellStyle name="Normal 14 5" xfId="2019" xr:uid="{00000000-0005-0000-0000-0000790E0000}"/>
    <cellStyle name="Normal 14 5 2" xfId="4248" xr:uid="{00000000-0005-0000-0000-00007A0E0000}"/>
    <cellStyle name="Normal 14 5 2 2" xfId="8470" xr:uid="{00000000-0005-0000-0000-00007B0E0000}"/>
    <cellStyle name="Normal 14 5 2 2 2" xfId="16920" xr:uid="{2CF591F4-A692-449E-8E41-CB017490DE18}"/>
    <cellStyle name="Normal 14 5 2 3" xfId="12702" xr:uid="{DC6A344E-BAAB-4D4F-A08D-490AF5AE4C32}"/>
    <cellStyle name="Normal 14 5 3" xfId="6325" xr:uid="{00000000-0005-0000-0000-00007C0E0000}"/>
    <cellStyle name="Normal 14 5 3 2" xfId="14775" xr:uid="{7A9B31ED-20CD-4F7B-8BBE-FD6295F4273A}"/>
    <cellStyle name="Normal 14 5 4" xfId="10557" xr:uid="{C721C282-3951-41F1-B9BE-65FDECC8E8EB}"/>
    <cellStyle name="Normal 14 6" xfId="2455" xr:uid="{00000000-0005-0000-0000-00007D0E0000}"/>
    <cellStyle name="Normal 14 6 2" xfId="6738" xr:uid="{00000000-0005-0000-0000-00007E0E0000}"/>
    <cellStyle name="Normal 14 6 2 2" xfId="15188" xr:uid="{DC538F3E-AFF7-435C-AC6B-F205712AB96E}"/>
    <cellStyle name="Normal 14 6 3" xfId="10970" xr:uid="{E9FAF7B3-81C1-494F-BB64-30AEBED8601D}"/>
    <cellStyle name="Normal 14 7" xfId="4672" xr:uid="{00000000-0005-0000-0000-00007F0E0000}"/>
    <cellStyle name="Normal 14 7 2" xfId="13122" xr:uid="{D717DE69-2649-4E5F-9B1F-EFAAFD86E6C5}"/>
    <cellStyle name="Normal 14 8" xfId="8904" xr:uid="{F1F11505-3F4F-406B-AD0F-A944FF3AFC6F}"/>
    <cellStyle name="Normal 15" xfId="4496" xr:uid="{00000000-0005-0000-0000-0000800E0000}"/>
    <cellStyle name="Normal 15 2" xfId="12948" xr:uid="{7B17C38D-6884-4FA2-AAFE-564D1240722F}"/>
    <cellStyle name="Normal 16" xfId="4500" xr:uid="{00000000-0005-0000-0000-0000810E0000}"/>
    <cellStyle name="Normal 16 2" xfId="8715" xr:uid="{00000000-0005-0000-0000-0000820E0000}"/>
    <cellStyle name="Normal 16 2 2" xfId="17165" xr:uid="{FE3B2BA2-BCB7-4F89-A44F-B32450DBA529}"/>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6 3 2 2 2 2 2" xfId="17181" xr:uid="{C6C935A4-6B7F-4E1E-BF12-E6768C34DFB7}"/>
    <cellStyle name="Normal 16 3 2 2 2 3" xfId="17178" xr:uid="{1A5CBACA-EBEE-4239-B809-773B89D67F49}"/>
    <cellStyle name="Normal 16 3 2 2 3" xfId="17174" xr:uid="{3BF8903C-EABA-4891-BE74-C429FB93015F}"/>
    <cellStyle name="Normal 16 3 2 3" xfId="17171" xr:uid="{B6C5DBE2-0164-4695-9A77-3E220AA86110}"/>
    <cellStyle name="Normal 16 3 3" xfId="17168" xr:uid="{152B7E88-EFB7-4D68-8000-6C3D502454F8}"/>
    <cellStyle name="Normal 16 4" xfId="12951" xr:uid="{F8C174AA-9B6A-4AD5-A609-55946D150B84}"/>
    <cellStyle name="Normal 17" xfId="8728" xr:uid="{3FF0972C-833B-4475-99D8-1A6907499E71}"/>
    <cellStyle name="Normal 17 2" xfId="17177" xr:uid="{09264BB1-3745-41B9-9149-EF01BD0917B7}"/>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2 2 2" xfId="16921" xr:uid="{717E1477-2C84-40FB-9C78-D4B444A03C58}"/>
    <cellStyle name="Normal 2 4 2 10 2 3" xfId="12703" xr:uid="{F9DC9B06-22C0-428B-9971-299494BFE8A9}"/>
    <cellStyle name="Normal 2 4 2 10 3" xfId="6326" xr:uid="{00000000-0005-0000-0000-0000910E0000}"/>
    <cellStyle name="Normal 2 4 2 10 3 2" xfId="14776" xr:uid="{195FF719-DC59-4A29-8081-F4B3C9BFA1E8}"/>
    <cellStyle name="Normal 2 4 2 10 4" xfId="10558" xr:uid="{7F678B68-587A-4E54-9BD7-5F3DC9C1CC5A}"/>
    <cellStyle name="Normal 2 4 2 11" xfId="2456" xr:uid="{00000000-0005-0000-0000-0000920E0000}"/>
    <cellStyle name="Normal 2 4 2 11 2" xfId="6739" xr:uid="{00000000-0005-0000-0000-0000930E0000}"/>
    <cellStyle name="Normal 2 4 2 11 2 2" xfId="15189" xr:uid="{CF5E98DD-22CA-4561-9C2E-00D0711DA949}"/>
    <cellStyle name="Normal 2 4 2 11 3" xfId="10971" xr:uid="{564D0FD5-8CDC-4C54-A569-8A7DE81DD305}"/>
    <cellStyle name="Normal 2 4 2 12" xfId="4673" xr:uid="{00000000-0005-0000-0000-0000940E0000}"/>
    <cellStyle name="Normal 2 4 2 12 2" xfId="13123" xr:uid="{918BB72A-D1EA-45EE-833D-7FF193C6ACA3}"/>
    <cellStyle name="Normal 2 4 2 13" xfId="8905" xr:uid="{44962799-AF79-4839-96E9-5DCDEFC14810}"/>
    <cellStyle name="Normal 2 4 2 2" xfId="280" xr:uid="{00000000-0005-0000-0000-0000950E0000}"/>
    <cellStyle name="Normal 2 4 2 3" xfId="281" xr:uid="{00000000-0005-0000-0000-0000960E0000}"/>
    <cellStyle name="Normal 2 4 2 3 10" xfId="4674" xr:uid="{00000000-0005-0000-0000-0000970E0000}"/>
    <cellStyle name="Normal 2 4 2 3 10 2" xfId="13124" xr:uid="{0FC77FCD-8D49-435A-B3AD-8F7CC2152633}"/>
    <cellStyle name="Normal 2 4 2 3 11" xfId="8906" xr:uid="{E53462B8-08B8-4A3B-BD01-E90D2D613C89}"/>
    <cellStyle name="Normal 2 4 2 3 2" xfId="282" xr:uid="{00000000-0005-0000-0000-0000980E0000}"/>
    <cellStyle name="Normal 2 4 2 3 2 10" xfId="8907" xr:uid="{388B0137-8CF2-45D7-B859-83473D3D175E}"/>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2 2 2" xfId="15686" xr:uid="{A3522A19-17C4-42B9-B336-C3EE5194523A}"/>
    <cellStyle name="Normal 2 4 2 3 2 2 2 2 2 3" xfId="11468" xr:uid="{D234B1F2-D552-4789-B6BC-9C2A0BF711F7}"/>
    <cellStyle name="Normal 2 4 2 3 2 2 2 2 3" xfId="5091" xr:uid="{00000000-0005-0000-0000-00009E0E0000}"/>
    <cellStyle name="Normal 2 4 2 3 2 2 2 2 3 2" xfId="13541" xr:uid="{E76B9EBE-8C66-4488-9B1B-BCD21C8CABFE}"/>
    <cellStyle name="Normal 2 4 2 3 2 2 2 2 4" xfId="9323" xr:uid="{92D012B3-6416-4DE2-9430-B651870652CD}"/>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2 2 2" xfId="16099" xr:uid="{83B587C1-7454-4758-AFD6-BA4EED404685}"/>
    <cellStyle name="Normal 2 4 2 3 2 2 2 3 2 3" xfId="11881" xr:uid="{0D269913-4A61-4D79-BCF1-AAE56EBC9D39}"/>
    <cellStyle name="Normal 2 4 2 3 2 2 2 3 3" xfId="5504" xr:uid="{00000000-0005-0000-0000-0000A20E0000}"/>
    <cellStyle name="Normal 2 4 2 3 2 2 2 3 3 2" xfId="13954" xr:uid="{D1781180-46F0-4711-B750-58E9057C0BB3}"/>
    <cellStyle name="Normal 2 4 2 3 2 2 2 3 4" xfId="9736" xr:uid="{F933141A-AA59-4BE6-8B2C-CDDC6049649E}"/>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2 2 2" xfId="16512" xr:uid="{72F111C7-0404-46FA-A0C8-FB9CD03DD1B2}"/>
    <cellStyle name="Normal 2 4 2 3 2 2 2 4 2 3" xfId="12294" xr:uid="{473969E7-FEB1-4A03-9C8D-A28F6C2596AD}"/>
    <cellStyle name="Normal 2 4 2 3 2 2 2 4 3" xfId="5917" xr:uid="{00000000-0005-0000-0000-0000A60E0000}"/>
    <cellStyle name="Normal 2 4 2 3 2 2 2 4 3 2" xfId="14367" xr:uid="{C661256F-DD24-48E4-B90E-905FF13B8597}"/>
    <cellStyle name="Normal 2 4 2 3 2 2 2 4 4" xfId="10149" xr:uid="{B6FCA678-C0F2-4E9A-85D0-6421B928705E}"/>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2 2 2" xfId="16925" xr:uid="{6713A306-F7DD-4ADA-9327-4DDBCE9115B6}"/>
    <cellStyle name="Normal 2 4 2 3 2 2 2 5 2 3" xfId="12707" xr:uid="{9B19AF7E-3E45-412F-99CA-50443D58813E}"/>
    <cellStyle name="Normal 2 4 2 3 2 2 2 5 3" xfId="6330" xr:uid="{00000000-0005-0000-0000-0000AA0E0000}"/>
    <cellStyle name="Normal 2 4 2 3 2 2 2 5 3 2" xfId="14780" xr:uid="{5BEDC338-5E00-4FD0-9700-5DACE06A6D0E}"/>
    <cellStyle name="Normal 2 4 2 3 2 2 2 5 4" xfId="10562" xr:uid="{8E39739C-6F01-415F-93D0-850D76F9824B}"/>
    <cellStyle name="Normal 2 4 2 3 2 2 2 6" xfId="2460" xr:uid="{00000000-0005-0000-0000-0000AB0E0000}"/>
    <cellStyle name="Normal 2 4 2 3 2 2 2 6 2" xfId="6743" xr:uid="{00000000-0005-0000-0000-0000AC0E0000}"/>
    <cellStyle name="Normal 2 4 2 3 2 2 2 6 2 2" xfId="15193" xr:uid="{17FEA6DF-9A40-4A0B-91D8-373BB4581D46}"/>
    <cellStyle name="Normal 2 4 2 3 2 2 2 6 3" xfId="10975" xr:uid="{1F51F3D2-CF09-42D3-ACEA-14B52B01027D}"/>
    <cellStyle name="Normal 2 4 2 3 2 2 2 7" xfId="4677" xr:uid="{00000000-0005-0000-0000-0000AD0E0000}"/>
    <cellStyle name="Normal 2 4 2 3 2 2 2 7 2" xfId="13127" xr:uid="{A5A625EA-B191-41F4-88C9-0ABB4585BE44}"/>
    <cellStyle name="Normal 2 4 2 3 2 2 2 8" xfId="8909" xr:uid="{85F7D376-F9AC-4504-ABF9-9AFC72E90BB1}"/>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2 2 2" xfId="15685" xr:uid="{50A7DCCC-D89C-4F59-B624-18303BB395F8}"/>
    <cellStyle name="Normal 2 4 2 3 2 2 3 2 3" xfId="11467" xr:uid="{DEAEDACD-FBEA-4007-883E-81A449D1B5F3}"/>
    <cellStyle name="Normal 2 4 2 3 2 2 3 3" xfId="5090" xr:uid="{00000000-0005-0000-0000-0000B10E0000}"/>
    <cellStyle name="Normal 2 4 2 3 2 2 3 3 2" xfId="13540" xr:uid="{BCA1F4A7-E55B-47BC-ACC8-46CA7D5CF8F7}"/>
    <cellStyle name="Normal 2 4 2 3 2 2 3 4" xfId="9322" xr:uid="{43E05F05-2971-493B-8EE7-22BD7DC83F96}"/>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2 2 2" xfId="16098" xr:uid="{8A890769-E0CB-4982-B542-9DDD023B486B}"/>
    <cellStyle name="Normal 2 4 2 3 2 2 4 2 3" xfId="11880" xr:uid="{71AB3248-E570-4D8B-9ACC-7C6671FA2895}"/>
    <cellStyle name="Normal 2 4 2 3 2 2 4 3" xfId="5503" xr:uid="{00000000-0005-0000-0000-0000B50E0000}"/>
    <cellStyle name="Normal 2 4 2 3 2 2 4 3 2" xfId="13953" xr:uid="{1CA9ADCC-E263-44AC-8000-8E9CAB5C56A9}"/>
    <cellStyle name="Normal 2 4 2 3 2 2 4 4" xfId="9735" xr:uid="{305D3F27-40DF-418A-95B4-266E84277D3E}"/>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2 2 2" xfId="16511" xr:uid="{C18C3206-7327-4DB7-BF06-C45BB4B4EC28}"/>
    <cellStyle name="Normal 2 4 2 3 2 2 5 2 3" xfId="12293" xr:uid="{F8B4BB80-83FD-4655-908C-C815002F1B6F}"/>
    <cellStyle name="Normal 2 4 2 3 2 2 5 3" xfId="5916" xr:uid="{00000000-0005-0000-0000-0000B90E0000}"/>
    <cellStyle name="Normal 2 4 2 3 2 2 5 3 2" xfId="14366" xr:uid="{AE15B277-0EE1-44DA-BC4C-73E5AA530F04}"/>
    <cellStyle name="Normal 2 4 2 3 2 2 5 4" xfId="10148" xr:uid="{A722083A-423F-45AE-B73A-9C342545DBC4}"/>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2 2 2" xfId="16924" xr:uid="{9DE88AF9-35C3-4C67-A6B7-F4078304C1E5}"/>
    <cellStyle name="Normal 2 4 2 3 2 2 6 2 3" xfId="12706" xr:uid="{742538D3-01D6-40F4-9879-CDB6B0661500}"/>
    <cellStyle name="Normal 2 4 2 3 2 2 6 3" xfId="6329" xr:uid="{00000000-0005-0000-0000-0000BD0E0000}"/>
    <cellStyle name="Normal 2 4 2 3 2 2 6 3 2" xfId="14779" xr:uid="{1F323637-9518-4C53-B64E-BE0E438506AA}"/>
    <cellStyle name="Normal 2 4 2 3 2 2 6 4" xfId="10561" xr:uid="{0D2F6E74-9FDE-455F-AE73-711B3B4D2900}"/>
    <cellStyle name="Normal 2 4 2 3 2 2 7" xfId="2459" xr:uid="{00000000-0005-0000-0000-0000BE0E0000}"/>
    <cellStyle name="Normal 2 4 2 3 2 2 7 2" xfId="6742" xr:uid="{00000000-0005-0000-0000-0000BF0E0000}"/>
    <cellStyle name="Normal 2 4 2 3 2 2 7 2 2" xfId="15192" xr:uid="{380D0827-4A5F-433E-940B-CF6D999CF958}"/>
    <cellStyle name="Normal 2 4 2 3 2 2 7 3" xfId="10974" xr:uid="{18B23F1A-F3ED-461C-9DBA-0ED658036991}"/>
    <cellStyle name="Normal 2 4 2 3 2 2 8" xfId="4676" xr:uid="{00000000-0005-0000-0000-0000C00E0000}"/>
    <cellStyle name="Normal 2 4 2 3 2 2 8 2" xfId="13126" xr:uid="{BA5CAC9E-73C7-4E2D-9FE9-2BA6D9915CDA}"/>
    <cellStyle name="Normal 2 4 2 3 2 2 9" xfId="8908" xr:uid="{D46BEEAA-4EE7-424A-9E5C-4826DAEFAA9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2 2 2" xfId="15687" xr:uid="{88A1D9B7-207F-49FC-87C2-64144CADF0FA}"/>
    <cellStyle name="Normal 2 4 2 3 2 3 2 2 3" xfId="11469" xr:uid="{1307F329-BBB3-4940-9ED9-AADE5F9D421C}"/>
    <cellStyle name="Normal 2 4 2 3 2 3 2 3" xfId="5092" xr:uid="{00000000-0005-0000-0000-0000C50E0000}"/>
    <cellStyle name="Normal 2 4 2 3 2 3 2 3 2" xfId="13542" xr:uid="{3B7FE2D4-4F4F-45CA-A9EC-E97425DA74E2}"/>
    <cellStyle name="Normal 2 4 2 3 2 3 2 4" xfId="9324" xr:uid="{CFE0793F-5184-4DE5-88C8-61146CC80FC4}"/>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2 2 2" xfId="16100" xr:uid="{F5D73526-162E-4D22-950C-D86738639C32}"/>
    <cellStyle name="Normal 2 4 2 3 2 3 3 2 3" xfId="11882" xr:uid="{3EA5CB83-6473-43F2-90DD-12E26D6318C5}"/>
    <cellStyle name="Normal 2 4 2 3 2 3 3 3" xfId="5505" xr:uid="{00000000-0005-0000-0000-0000C90E0000}"/>
    <cellStyle name="Normal 2 4 2 3 2 3 3 3 2" xfId="13955" xr:uid="{B353FBBA-EAAD-4ADA-942B-EDDF76D9B61B}"/>
    <cellStyle name="Normal 2 4 2 3 2 3 3 4" xfId="9737" xr:uid="{2D5A8E47-3FBA-4BC3-BB80-737BA6497409}"/>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2 2 2" xfId="16513" xr:uid="{3E72796B-6BFE-4B47-AEC4-EBFC4D07473C}"/>
    <cellStyle name="Normal 2 4 2 3 2 3 4 2 3" xfId="12295" xr:uid="{AAC66CBA-919B-493F-AD28-E6F43CE178B6}"/>
    <cellStyle name="Normal 2 4 2 3 2 3 4 3" xfId="5918" xr:uid="{00000000-0005-0000-0000-0000CD0E0000}"/>
    <cellStyle name="Normal 2 4 2 3 2 3 4 3 2" xfId="14368" xr:uid="{1251E0A7-87AE-4F58-91B1-72BF8ACAEEE4}"/>
    <cellStyle name="Normal 2 4 2 3 2 3 4 4" xfId="10150" xr:uid="{649EDE59-1716-45D1-BB38-29FA09A26BFB}"/>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2 2 2" xfId="16926" xr:uid="{2B73EDC9-2EC6-4267-BFA6-40C683EA0AF6}"/>
    <cellStyle name="Normal 2 4 2 3 2 3 5 2 3" xfId="12708" xr:uid="{548D304E-5F2C-4E0C-B0FF-FCE925383D65}"/>
    <cellStyle name="Normal 2 4 2 3 2 3 5 3" xfId="6331" xr:uid="{00000000-0005-0000-0000-0000D10E0000}"/>
    <cellStyle name="Normal 2 4 2 3 2 3 5 3 2" xfId="14781" xr:uid="{55FEDF3C-36EC-4231-AB24-A36FE07159FC}"/>
    <cellStyle name="Normal 2 4 2 3 2 3 5 4" xfId="10563" xr:uid="{367F92A1-F574-47D4-85D8-A7B9DA427989}"/>
    <cellStyle name="Normal 2 4 2 3 2 3 6" xfId="2461" xr:uid="{00000000-0005-0000-0000-0000D20E0000}"/>
    <cellStyle name="Normal 2 4 2 3 2 3 6 2" xfId="6744" xr:uid="{00000000-0005-0000-0000-0000D30E0000}"/>
    <cellStyle name="Normal 2 4 2 3 2 3 6 2 2" xfId="15194" xr:uid="{EEBD0284-7884-4600-AE93-C829671C5C9C}"/>
    <cellStyle name="Normal 2 4 2 3 2 3 6 3" xfId="10976" xr:uid="{D87278F6-BA29-4141-8E00-8F39E6817184}"/>
    <cellStyle name="Normal 2 4 2 3 2 3 7" xfId="4678" xr:uid="{00000000-0005-0000-0000-0000D40E0000}"/>
    <cellStyle name="Normal 2 4 2 3 2 3 7 2" xfId="13128" xr:uid="{8D33BA72-6CCF-4467-99D8-C6C14CF758A3}"/>
    <cellStyle name="Normal 2 4 2 3 2 3 8" xfId="8910" xr:uid="{21F61B22-94BB-4A48-BC50-FCE938D2BFA5}"/>
    <cellStyle name="Normal 2 4 2 3 2 4" xfId="773" xr:uid="{00000000-0005-0000-0000-0000D50E0000}"/>
    <cellStyle name="Normal 2 4 2 3 2 4 2" xfId="3012" xr:uid="{00000000-0005-0000-0000-0000D60E0000}"/>
    <cellStyle name="Normal 2 4 2 3 2 4 2 2" xfId="7234" xr:uid="{00000000-0005-0000-0000-0000D70E0000}"/>
    <cellStyle name="Normal 2 4 2 3 2 4 2 2 2" xfId="15684" xr:uid="{65A22E5E-E4F5-4777-BC30-8E403BED97E6}"/>
    <cellStyle name="Normal 2 4 2 3 2 4 2 3" xfId="11466" xr:uid="{C6FD66B3-890D-47B3-9BCE-72907A249B00}"/>
    <cellStyle name="Normal 2 4 2 3 2 4 3" xfId="5089" xr:uid="{00000000-0005-0000-0000-0000D80E0000}"/>
    <cellStyle name="Normal 2 4 2 3 2 4 3 2" xfId="13539" xr:uid="{C592A354-3DCA-4094-B751-7AB75F49BEB7}"/>
    <cellStyle name="Normal 2 4 2 3 2 4 4" xfId="9321" xr:uid="{E2D9255D-3994-49E2-B23E-15B30F5DA2FF}"/>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2 2 2" xfId="16097" xr:uid="{6C628FFE-5EB9-49C0-BCBF-520E3F4325D7}"/>
    <cellStyle name="Normal 2 4 2 3 2 5 2 3" xfId="11879" xr:uid="{424A9F4C-8058-4839-B3FA-95A38C15271B}"/>
    <cellStyle name="Normal 2 4 2 3 2 5 3" xfId="5502" xr:uid="{00000000-0005-0000-0000-0000DC0E0000}"/>
    <cellStyle name="Normal 2 4 2 3 2 5 3 2" xfId="13952" xr:uid="{27E62591-2889-4921-AAFD-77A08CD7BF3B}"/>
    <cellStyle name="Normal 2 4 2 3 2 5 4" xfId="9734" xr:uid="{DE687B46-B545-4A3E-A419-5DD35E48A1CD}"/>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2 2 2" xfId="16510" xr:uid="{53085CB8-9B3C-4610-B8C1-7BCB87765289}"/>
    <cellStyle name="Normal 2 4 2 3 2 6 2 3" xfId="12292" xr:uid="{F24B61BA-7EF4-4EE9-93D9-6E83A90AC17D}"/>
    <cellStyle name="Normal 2 4 2 3 2 6 3" xfId="5915" xr:uid="{00000000-0005-0000-0000-0000E00E0000}"/>
    <cellStyle name="Normal 2 4 2 3 2 6 3 2" xfId="14365" xr:uid="{C631E311-E8DD-4D7E-8F47-EA955E2F37C8}"/>
    <cellStyle name="Normal 2 4 2 3 2 6 4" xfId="10147" xr:uid="{9F6612F4-4BF5-4E2C-9DF2-6599901D9C5A}"/>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2 2 2" xfId="16923" xr:uid="{C67AB79E-6FD9-43A3-A2BC-F764F425BAC1}"/>
    <cellStyle name="Normal 2 4 2 3 2 7 2 3" xfId="12705" xr:uid="{854DEBC7-D0DF-4E92-9729-6E778E5DD1A1}"/>
    <cellStyle name="Normal 2 4 2 3 2 7 3" xfId="6328" xr:uid="{00000000-0005-0000-0000-0000E40E0000}"/>
    <cellStyle name="Normal 2 4 2 3 2 7 3 2" xfId="14778" xr:uid="{3128C6BF-5A49-4B89-9F51-E8D5AC01A6E4}"/>
    <cellStyle name="Normal 2 4 2 3 2 7 4" xfId="10560" xr:uid="{4B89913B-52CF-4B13-83D3-8CA2268299E4}"/>
    <cellStyle name="Normal 2 4 2 3 2 8" xfId="2458" xr:uid="{00000000-0005-0000-0000-0000E50E0000}"/>
    <cellStyle name="Normal 2 4 2 3 2 8 2" xfId="6741" xr:uid="{00000000-0005-0000-0000-0000E60E0000}"/>
    <cellStyle name="Normal 2 4 2 3 2 8 2 2" xfId="15191" xr:uid="{49DABC73-36ED-4AC4-A386-5CBE0E432923}"/>
    <cellStyle name="Normal 2 4 2 3 2 8 3" xfId="10973" xr:uid="{82D5C1D2-E9EF-4B28-B6AB-FED1D8A88523}"/>
    <cellStyle name="Normal 2 4 2 3 2 9" xfId="4675" xr:uid="{00000000-0005-0000-0000-0000E70E0000}"/>
    <cellStyle name="Normal 2 4 2 3 2 9 2" xfId="13125" xr:uid="{3C160D32-F392-469E-A99F-94983CE31BFF}"/>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2 2 2" xfId="15689" xr:uid="{FD4E50DA-ACEE-4A3B-9265-983614F5908D}"/>
    <cellStyle name="Normal 2 4 2 3 3 2 2 2 3" xfId="11471" xr:uid="{4F36878A-B827-4D57-B3EB-763FEEA0801B}"/>
    <cellStyle name="Normal 2 4 2 3 3 2 2 3" xfId="5094" xr:uid="{00000000-0005-0000-0000-0000ED0E0000}"/>
    <cellStyle name="Normal 2 4 2 3 3 2 2 3 2" xfId="13544" xr:uid="{61B2E023-3DA5-4187-8361-9BDD89B87F5D}"/>
    <cellStyle name="Normal 2 4 2 3 3 2 2 4" xfId="9326" xr:uid="{85472D19-3C9A-41C7-820C-67CFE0CBE8BC}"/>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2 2 2" xfId="16102" xr:uid="{07153A26-B8EB-4A02-9B48-837EA3F3AB5E}"/>
    <cellStyle name="Normal 2 4 2 3 3 2 3 2 3" xfId="11884" xr:uid="{0C494DAE-60E7-4C16-984A-45CD5AE313F4}"/>
    <cellStyle name="Normal 2 4 2 3 3 2 3 3" xfId="5507" xr:uid="{00000000-0005-0000-0000-0000F10E0000}"/>
    <cellStyle name="Normal 2 4 2 3 3 2 3 3 2" xfId="13957" xr:uid="{E150015B-B450-45EE-8DE8-19EC479BF989}"/>
    <cellStyle name="Normal 2 4 2 3 3 2 3 4" xfId="9739" xr:uid="{2108D593-CC45-4169-B9A1-576D1F6561C1}"/>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2 2 2" xfId="16515" xr:uid="{416696F6-7F2C-4414-85D9-53B90C558830}"/>
    <cellStyle name="Normal 2 4 2 3 3 2 4 2 3" xfId="12297" xr:uid="{917ED19B-32DF-4EA8-AA65-7B922BAB0AD1}"/>
    <cellStyle name="Normal 2 4 2 3 3 2 4 3" xfId="5920" xr:uid="{00000000-0005-0000-0000-0000F50E0000}"/>
    <cellStyle name="Normal 2 4 2 3 3 2 4 3 2" xfId="14370" xr:uid="{9D1F8AD7-771B-4B3B-80D5-B462614AE096}"/>
    <cellStyle name="Normal 2 4 2 3 3 2 4 4" xfId="10152" xr:uid="{1DEF5AD1-25BB-41B2-84C3-BBB63D8B6027}"/>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2 2 2" xfId="16928" xr:uid="{99193810-809A-4DFB-AAAF-DAB804B1FF71}"/>
    <cellStyle name="Normal 2 4 2 3 3 2 5 2 3" xfId="12710" xr:uid="{F635671F-0C1F-43B4-8034-A517417AF4B5}"/>
    <cellStyle name="Normal 2 4 2 3 3 2 5 3" xfId="6333" xr:uid="{00000000-0005-0000-0000-0000F90E0000}"/>
    <cellStyle name="Normal 2 4 2 3 3 2 5 3 2" xfId="14783" xr:uid="{5006A301-2A26-4AE7-9521-531D98D51EED}"/>
    <cellStyle name="Normal 2 4 2 3 3 2 5 4" xfId="10565" xr:uid="{26B43594-579B-469C-A0F8-CD95F84AF396}"/>
    <cellStyle name="Normal 2 4 2 3 3 2 6" xfId="2463" xr:uid="{00000000-0005-0000-0000-0000FA0E0000}"/>
    <cellStyle name="Normal 2 4 2 3 3 2 6 2" xfId="6746" xr:uid="{00000000-0005-0000-0000-0000FB0E0000}"/>
    <cellStyle name="Normal 2 4 2 3 3 2 6 2 2" xfId="15196" xr:uid="{1D134D27-0E0C-4D91-91F7-094ED29D9A19}"/>
    <cellStyle name="Normal 2 4 2 3 3 2 6 3" xfId="10978" xr:uid="{D7087B72-DA1B-45A1-B95E-8137CEE0BB01}"/>
    <cellStyle name="Normal 2 4 2 3 3 2 7" xfId="4680" xr:uid="{00000000-0005-0000-0000-0000FC0E0000}"/>
    <cellStyle name="Normal 2 4 2 3 3 2 7 2" xfId="13130" xr:uid="{AE66C849-E194-4AB2-9735-19D5DD482543}"/>
    <cellStyle name="Normal 2 4 2 3 3 2 8" xfId="8912" xr:uid="{99B8CD0D-7BFE-4245-AD56-6BB22D5C2219}"/>
    <cellStyle name="Normal 2 4 2 3 3 3" xfId="777" xr:uid="{00000000-0005-0000-0000-0000FD0E0000}"/>
    <cellStyle name="Normal 2 4 2 3 3 3 2" xfId="3016" xr:uid="{00000000-0005-0000-0000-0000FE0E0000}"/>
    <cellStyle name="Normal 2 4 2 3 3 3 2 2" xfId="7238" xr:uid="{00000000-0005-0000-0000-0000FF0E0000}"/>
    <cellStyle name="Normal 2 4 2 3 3 3 2 2 2" xfId="15688" xr:uid="{F05830C8-8913-4B6A-B69C-46263EF906AC}"/>
    <cellStyle name="Normal 2 4 2 3 3 3 2 3" xfId="11470" xr:uid="{97ADAA12-5D6F-4364-9038-7039751339A5}"/>
    <cellStyle name="Normal 2 4 2 3 3 3 3" xfId="5093" xr:uid="{00000000-0005-0000-0000-0000000F0000}"/>
    <cellStyle name="Normal 2 4 2 3 3 3 3 2" xfId="13543" xr:uid="{1579D8B0-755A-45A3-AB4D-711FEDCDA2AA}"/>
    <cellStyle name="Normal 2 4 2 3 3 3 4" xfId="9325" xr:uid="{5D4C955C-DB03-4968-84F7-5C996C1580E1}"/>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2 2 2" xfId="16101" xr:uid="{DC601E0C-2E46-4070-B4D5-672536579ACF}"/>
    <cellStyle name="Normal 2 4 2 3 3 4 2 3" xfId="11883" xr:uid="{83794E7D-FBD3-4227-90C5-96934C8EDD1F}"/>
    <cellStyle name="Normal 2 4 2 3 3 4 3" xfId="5506" xr:uid="{00000000-0005-0000-0000-0000040F0000}"/>
    <cellStyle name="Normal 2 4 2 3 3 4 3 2" xfId="13956" xr:uid="{B3C7BC22-43B2-412A-B586-DD31E76336C5}"/>
    <cellStyle name="Normal 2 4 2 3 3 4 4" xfId="9738" xr:uid="{46EFCB4A-E785-494F-8904-DFEB5F34C204}"/>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2 2 2" xfId="16514" xr:uid="{EC68E781-AF56-4787-A177-5B354D25F143}"/>
    <cellStyle name="Normal 2 4 2 3 3 5 2 3" xfId="12296" xr:uid="{2CE28391-F827-447C-9DED-813F086730BA}"/>
    <cellStyle name="Normal 2 4 2 3 3 5 3" xfId="5919" xr:uid="{00000000-0005-0000-0000-0000080F0000}"/>
    <cellStyle name="Normal 2 4 2 3 3 5 3 2" xfId="14369" xr:uid="{EC9060AE-065F-4B70-9641-BE549B48DBCC}"/>
    <cellStyle name="Normal 2 4 2 3 3 5 4" xfId="10151" xr:uid="{0E294444-D4CD-4683-9097-C84DE197EFC8}"/>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2 2 2" xfId="16927" xr:uid="{0997AE1E-35AF-44EF-8DFA-ADDF0A2A16AF}"/>
    <cellStyle name="Normal 2 4 2 3 3 6 2 3" xfId="12709" xr:uid="{B5BFA3FF-B821-4A36-861D-1F5057D5B1E6}"/>
    <cellStyle name="Normal 2 4 2 3 3 6 3" xfId="6332" xr:uid="{00000000-0005-0000-0000-00000C0F0000}"/>
    <cellStyle name="Normal 2 4 2 3 3 6 3 2" xfId="14782" xr:uid="{D6694133-25B5-4D6D-9C1A-76DF61A3B031}"/>
    <cellStyle name="Normal 2 4 2 3 3 6 4" xfId="10564" xr:uid="{E73EA4A8-53EE-4622-9243-9B0EA756986E}"/>
    <cellStyle name="Normal 2 4 2 3 3 7" xfId="2462" xr:uid="{00000000-0005-0000-0000-00000D0F0000}"/>
    <cellStyle name="Normal 2 4 2 3 3 7 2" xfId="6745" xr:uid="{00000000-0005-0000-0000-00000E0F0000}"/>
    <cellStyle name="Normal 2 4 2 3 3 7 2 2" xfId="15195" xr:uid="{7A9D7E36-9BA9-4004-962A-FA4D8AFA1ABD}"/>
    <cellStyle name="Normal 2 4 2 3 3 7 3" xfId="10977" xr:uid="{216FA7ED-A98E-45CE-B89F-434C7ECA0CD1}"/>
    <cellStyle name="Normal 2 4 2 3 3 8" xfId="4679" xr:uid="{00000000-0005-0000-0000-00000F0F0000}"/>
    <cellStyle name="Normal 2 4 2 3 3 8 2" xfId="13129" xr:uid="{9A0FEADF-AF6A-407F-89AF-50EAFEA950EA}"/>
    <cellStyle name="Normal 2 4 2 3 3 9" xfId="8911" xr:uid="{2F49C39F-0A2B-4F86-916E-DBD36787A745}"/>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2 2 2" xfId="15690" xr:uid="{6A546896-F375-4F60-9D68-E3712A44F23F}"/>
    <cellStyle name="Normal 2 4 2 3 4 2 2 3" xfId="11472" xr:uid="{3F45AB82-471C-435F-87C2-1FA8B11067A1}"/>
    <cellStyle name="Normal 2 4 2 3 4 2 3" xfId="5095" xr:uid="{00000000-0005-0000-0000-0000140F0000}"/>
    <cellStyle name="Normal 2 4 2 3 4 2 3 2" xfId="13545" xr:uid="{1E169A56-CF69-4B75-96CD-EC81D9515A21}"/>
    <cellStyle name="Normal 2 4 2 3 4 2 4" xfId="9327" xr:uid="{F5362CA9-3905-4EAB-A593-B4FED3BFF085}"/>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2 2 2" xfId="16103" xr:uid="{515D09F3-F041-4AFE-A68A-D2BB14328A9A}"/>
    <cellStyle name="Normal 2 4 2 3 4 3 2 3" xfId="11885" xr:uid="{B884102F-63E5-48F0-B412-911DEE5C1654}"/>
    <cellStyle name="Normal 2 4 2 3 4 3 3" xfId="5508" xr:uid="{00000000-0005-0000-0000-0000180F0000}"/>
    <cellStyle name="Normal 2 4 2 3 4 3 3 2" xfId="13958" xr:uid="{1E8D5037-0BD1-4CC3-A77B-313F56E83804}"/>
    <cellStyle name="Normal 2 4 2 3 4 3 4" xfId="9740" xr:uid="{26F0676E-7476-4F38-9F1F-F053B727C101}"/>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2 2 2" xfId="16516" xr:uid="{0CFC6330-EB5D-4A08-B4F0-182811E88FC6}"/>
    <cellStyle name="Normal 2 4 2 3 4 4 2 3" xfId="12298" xr:uid="{2570882B-18C6-4CD8-B395-66DCE8D79030}"/>
    <cellStyle name="Normal 2 4 2 3 4 4 3" xfId="5921" xr:uid="{00000000-0005-0000-0000-00001C0F0000}"/>
    <cellStyle name="Normal 2 4 2 3 4 4 3 2" xfId="14371" xr:uid="{DC9F72BF-6EEC-418B-9B89-1EAA4815BBBB}"/>
    <cellStyle name="Normal 2 4 2 3 4 4 4" xfId="10153" xr:uid="{BE7E33E9-B2C5-4954-A441-538198CF9558}"/>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2 2 2" xfId="16929" xr:uid="{29011A19-7B17-46CC-8FCD-045338E3F2F4}"/>
    <cellStyle name="Normal 2 4 2 3 4 5 2 3" xfId="12711" xr:uid="{671EE94C-D27B-412C-B0A3-5F7AC2E10204}"/>
    <cellStyle name="Normal 2 4 2 3 4 5 3" xfId="6334" xr:uid="{00000000-0005-0000-0000-0000200F0000}"/>
    <cellStyle name="Normal 2 4 2 3 4 5 3 2" xfId="14784" xr:uid="{A9608A20-F6AF-4406-B23C-DE6174863C25}"/>
    <cellStyle name="Normal 2 4 2 3 4 5 4" xfId="10566" xr:uid="{D12BE66D-EC56-420A-AB03-F0B5623567EC}"/>
    <cellStyle name="Normal 2 4 2 3 4 6" xfId="2464" xr:uid="{00000000-0005-0000-0000-0000210F0000}"/>
    <cellStyle name="Normal 2 4 2 3 4 6 2" xfId="6747" xr:uid="{00000000-0005-0000-0000-0000220F0000}"/>
    <cellStyle name="Normal 2 4 2 3 4 6 2 2" xfId="15197" xr:uid="{56FB6B1E-E270-428E-A128-3C3DA5C6ECD3}"/>
    <cellStyle name="Normal 2 4 2 3 4 6 3" xfId="10979" xr:uid="{CDE5AE70-C10C-4008-A003-0FAC6FAB8F94}"/>
    <cellStyle name="Normal 2 4 2 3 4 7" xfId="4681" xr:uid="{00000000-0005-0000-0000-0000230F0000}"/>
    <cellStyle name="Normal 2 4 2 3 4 7 2" xfId="13131" xr:uid="{AD26F20F-1003-46BE-A2CB-9A024760CA05}"/>
    <cellStyle name="Normal 2 4 2 3 4 8" xfId="8913" xr:uid="{76BC1063-00D8-4922-9607-810CF0EDBB9D}"/>
    <cellStyle name="Normal 2 4 2 3 5" xfId="772" xr:uid="{00000000-0005-0000-0000-0000240F0000}"/>
    <cellStyle name="Normal 2 4 2 3 5 2" xfId="3011" xr:uid="{00000000-0005-0000-0000-0000250F0000}"/>
    <cellStyle name="Normal 2 4 2 3 5 2 2" xfId="7233" xr:uid="{00000000-0005-0000-0000-0000260F0000}"/>
    <cellStyle name="Normal 2 4 2 3 5 2 2 2" xfId="15683" xr:uid="{C8CDD6A5-44E8-4F6D-B571-3FF50789C18F}"/>
    <cellStyle name="Normal 2 4 2 3 5 2 3" xfId="11465" xr:uid="{75557FA4-192E-48B8-8F33-9892446CB557}"/>
    <cellStyle name="Normal 2 4 2 3 5 3" xfId="5088" xr:uid="{00000000-0005-0000-0000-0000270F0000}"/>
    <cellStyle name="Normal 2 4 2 3 5 3 2" xfId="13538" xr:uid="{AF3483BC-08BD-4A62-9BAD-EA361F555F49}"/>
    <cellStyle name="Normal 2 4 2 3 5 4" xfId="9320" xr:uid="{96CCE443-8311-407C-9500-53C8DD6D8AF6}"/>
    <cellStyle name="Normal 2 4 2 3 6" xfId="1194" xr:uid="{00000000-0005-0000-0000-0000280F0000}"/>
    <cellStyle name="Normal 2 4 2 3 6 2" xfId="3424" xr:uid="{00000000-0005-0000-0000-0000290F0000}"/>
    <cellStyle name="Normal 2 4 2 3 6 2 2" xfId="7646" xr:uid="{00000000-0005-0000-0000-00002A0F0000}"/>
    <cellStyle name="Normal 2 4 2 3 6 2 2 2" xfId="16096" xr:uid="{8F2C8332-8F30-4709-A681-A8FC31BAA62F}"/>
    <cellStyle name="Normal 2 4 2 3 6 2 3" xfId="11878" xr:uid="{AA908BA4-7C49-4C28-A860-561C7DBA3525}"/>
    <cellStyle name="Normal 2 4 2 3 6 3" xfId="5501" xr:uid="{00000000-0005-0000-0000-00002B0F0000}"/>
    <cellStyle name="Normal 2 4 2 3 6 3 2" xfId="13951" xr:uid="{345EC8ED-B91A-4E22-860D-E638DAEAD9C5}"/>
    <cellStyle name="Normal 2 4 2 3 6 4" xfId="9733" xr:uid="{CE28F56B-F249-4792-8D11-45BD3465EEDD}"/>
    <cellStyle name="Normal 2 4 2 3 7" xfId="1607" xr:uid="{00000000-0005-0000-0000-00002C0F0000}"/>
    <cellStyle name="Normal 2 4 2 3 7 2" xfId="3837" xr:uid="{00000000-0005-0000-0000-00002D0F0000}"/>
    <cellStyle name="Normal 2 4 2 3 7 2 2" xfId="8059" xr:uid="{00000000-0005-0000-0000-00002E0F0000}"/>
    <cellStyle name="Normal 2 4 2 3 7 2 2 2" xfId="16509" xr:uid="{76D8EA03-F5F2-4189-9253-06EA0CDB3D3F}"/>
    <cellStyle name="Normal 2 4 2 3 7 2 3" xfId="12291" xr:uid="{14835286-B819-439F-8402-5325C20E85AB}"/>
    <cellStyle name="Normal 2 4 2 3 7 3" xfId="5914" xr:uid="{00000000-0005-0000-0000-00002F0F0000}"/>
    <cellStyle name="Normal 2 4 2 3 7 3 2" xfId="14364" xr:uid="{A79FF060-EB82-41ED-AB4C-05D73B7250D3}"/>
    <cellStyle name="Normal 2 4 2 3 7 4" xfId="10146" xr:uid="{BB21C295-1372-4A2A-B40C-F46C062BD749}"/>
    <cellStyle name="Normal 2 4 2 3 8" xfId="2021" xr:uid="{00000000-0005-0000-0000-0000300F0000}"/>
    <cellStyle name="Normal 2 4 2 3 8 2" xfId="4250" xr:uid="{00000000-0005-0000-0000-0000310F0000}"/>
    <cellStyle name="Normal 2 4 2 3 8 2 2" xfId="8472" xr:uid="{00000000-0005-0000-0000-0000320F0000}"/>
    <cellStyle name="Normal 2 4 2 3 8 2 2 2" xfId="16922" xr:uid="{4C55B136-52B6-41C6-A527-ED34432E9D52}"/>
    <cellStyle name="Normal 2 4 2 3 8 2 3" xfId="12704" xr:uid="{BE16526E-6DCF-4BE8-850B-5BE787E9CB6B}"/>
    <cellStyle name="Normal 2 4 2 3 8 3" xfId="6327" xr:uid="{00000000-0005-0000-0000-0000330F0000}"/>
    <cellStyle name="Normal 2 4 2 3 8 3 2" xfId="14777" xr:uid="{CD244F06-00A7-47C2-B263-82B300026C06}"/>
    <cellStyle name="Normal 2 4 2 3 8 4" xfId="10559" xr:uid="{82E8E2DC-47CB-4A5B-BC8A-A0007B9BD738}"/>
    <cellStyle name="Normal 2 4 2 3 9" xfId="2457" xr:uid="{00000000-0005-0000-0000-0000340F0000}"/>
    <cellStyle name="Normal 2 4 2 3 9 2" xfId="6740" xr:uid="{00000000-0005-0000-0000-0000350F0000}"/>
    <cellStyle name="Normal 2 4 2 3 9 2 2" xfId="15190" xr:uid="{A7913FED-FB4C-4DC7-B8DF-A61A3325F6F8}"/>
    <cellStyle name="Normal 2 4 2 3 9 3" xfId="10972" xr:uid="{D2BEBD12-6ED0-4F85-9D6B-B5C07667C571}"/>
    <cellStyle name="Normal 2 4 2 4" xfId="289" xr:uid="{00000000-0005-0000-0000-0000360F0000}"/>
    <cellStyle name="Normal 2 4 2 4 10" xfId="8914" xr:uid="{09F3C1D7-BB41-4D77-9B53-279332E09572}"/>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2 2 2" xfId="15693" xr:uid="{A6829EF5-32E8-4A64-98C6-07C7EADA366F}"/>
    <cellStyle name="Normal 2 4 2 4 2 2 2 2 3" xfId="11475" xr:uid="{1895EF78-2636-454D-95AA-AF7F13856791}"/>
    <cellStyle name="Normal 2 4 2 4 2 2 2 3" xfId="5098" xr:uid="{00000000-0005-0000-0000-00003C0F0000}"/>
    <cellStyle name="Normal 2 4 2 4 2 2 2 3 2" xfId="13548" xr:uid="{5E68F47B-BD21-4055-AC07-9AF5B86BE653}"/>
    <cellStyle name="Normal 2 4 2 4 2 2 2 4" xfId="9330" xr:uid="{1A744367-9D99-4296-AEED-4C08A7827845}"/>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2 2 2" xfId="16106" xr:uid="{965D2F87-30CF-4090-8DB1-E483AB7312E5}"/>
    <cellStyle name="Normal 2 4 2 4 2 2 3 2 3" xfId="11888" xr:uid="{5F8D0EFF-0484-479A-9234-147FCF56F29A}"/>
    <cellStyle name="Normal 2 4 2 4 2 2 3 3" xfId="5511" xr:uid="{00000000-0005-0000-0000-0000400F0000}"/>
    <cellStyle name="Normal 2 4 2 4 2 2 3 3 2" xfId="13961" xr:uid="{F8C8AE9A-B7D2-4A70-B07C-7F2AA4BD93F6}"/>
    <cellStyle name="Normal 2 4 2 4 2 2 3 4" xfId="9743" xr:uid="{DA69B9B9-9FFA-4915-8994-9A850B88368C}"/>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2 2 2" xfId="16519" xr:uid="{F78FD5AF-D607-4262-8BCB-B695FF2960B5}"/>
    <cellStyle name="Normal 2 4 2 4 2 2 4 2 3" xfId="12301" xr:uid="{E62BC271-88DF-40CA-94F7-6190DF6F52B8}"/>
    <cellStyle name="Normal 2 4 2 4 2 2 4 3" xfId="5924" xr:uid="{00000000-0005-0000-0000-0000440F0000}"/>
    <cellStyle name="Normal 2 4 2 4 2 2 4 3 2" xfId="14374" xr:uid="{E16E402D-F426-4489-A31F-991BAA81584A}"/>
    <cellStyle name="Normal 2 4 2 4 2 2 4 4" xfId="10156" xr:uid="{390E3BBC-4C4D-4940-9D57-B40B9BCB90BC}"/>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2 2 2" xfId="16932" xr:uid="{EA7E5504-73F5-4663-A3EF-EB3EB4961A4A}"/>
    <cellStyle name="Normal 2 4 2 4 2 2 5 2 3" xfId="12714" xr:uid="{A64FDF97-9284-4DBA-B769-10DA0AB595F7}"/>
    <cellStyle name="Normal 2 4 2 4 2 2 5 3" xfId="6337" xr:uid="{00000000-0005-0000-0000-0000480F0000}"/>
    <cellStyle name="Normal 2 4 2 4 2 2 5 3 2" xfId="14787" xr:uid="{BC4976DF-32BD-42E5-9038-FFE93375B249}"/>
    <cellStyle name="Normal 2 4 2 4 2 2 5 4" xfId="10569" xr:uid="{FB912BE8-F66D-4A8B-A77F-F322D1A78A5B}"/>
    <cellStyle name="Normal 2 4 2 4 2 2 6" xfId="2467" xr:uid="{00000000-0005-0000-0000-0000490F0000}"/>
    <cellStyle name="Normal 2 4 2 4 2 2 6 2" xfId="6750" xr:uid="{00000000-0005-0000-0000-00004A0F0000}"/>
    <cellStyle name="Normal 2 4 2 4 2 2 6 2 2" xfId="15200" xr:uid="{1284A4FD-A068-4D25-A848-3FF56A15A931}"/>
    <cellStyle name="Normal 2 4 2 4 2 2 6 3" xfId="10982" xr:uid="{D2025880-FD41-474F-9CC3-555741894AF1}"/>
    <cellStyle name="Normal 2 4 2 4 2 2 7" xfId="4684" xr:uid="{00000000-0005-0000-0000-00004B0F0000}"/>
    <cellStyle name="Normal 2 4 2 4 2 2 7 2" xfId="13134" xr:uid="{6F057E99-C3E9-4E90-BA7D-B4B0097C6B48}"/>
    <cellStyle name="Normal 2 4 2 4 2 2 8" xfId="8916" xr:uid="{2DBBBC7A-E6CE-4FD3-94D5-4C7036BEBB3E}"/>
    <cellStyle name="Normal 2 4 2 4 2 3" xfId="781" xr:uid="{00000000-0005-0000-0000-00004C0F0000}"/>
    <cellStyle name="Normal 2 4 2 4 2 3 2" xfId="3020" xr:uid="{00000000-0005-0000-0000-00004D0F0000}"/>
    <cellStyle name="Normal 2 4 2 4 2 3 2 2" xfId="7242" xr:uid="{00000000-0005-0000-0000-00004E0F0000}"/>
    <cellStyle name="Normal 2 4 2 4 2 3 2 2 2" xfId="15692" xr:uid="{040D3160-ED23-47CF-80A1-B887DFC5F746}"/>
    <cellStyle name="Normal 2 4 2 4 2 3 2 3" xfId="11474" xr:uid="{5FBAE3F6-4E65-4AFC-93ED-F8B43EF877E4}"/>
    <cellStyle name="Normal 2 4 2 4 2 3 3" xfId="5097" xr:uid="{00000000-0005-0000-0000-00004F0F0000}"/>
    <cellStyle name="Normal 2 4 2 4 2 3 3 2" xfId="13547" xr:uid="{BCE70FFE-DD4D-482B-AE3F-7C72BA7E663B}"/>
    <cellStyle name="Normal 2 4 2 4 2 3 4" xfId="9329" xr:uid="{B483A9C6-6177-4BB9-BD20-D417A9577A3E}"/>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2 2 2" xfId="16105" xr:uid="{6FE161F4-ABD9-4365-B0CC-9665AA454F12}"/>
    <cellStyle name="Normal 2 4 2 4 2 4 2 3" xfId="11887" xr:uid="{1A6F0A29-F00F-4EF4-82F9-E06B5D3CE632}"/>
    <cellStyle name="Normal 2 4 2 4 2 4 3" xfId="5510" xr:uid="{00000000-0005-0000-0000-0000530F0000}"/>
    <cellStyle name="Normal 2 4 2 4 2 4 3 2" xfId="13960" xr:uid="{B19E04B0-48A8-4143-91AE-9DA218AF2B82}"/>
    <cellStyle name="Normal 2 4 2 4 2 4 4" xfId="9742" xr:uid="{D11C185D-77AA-4579-B705-A39CA92EC036}"/>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2 2 2" xfId="16518" xr:uid="{D208C9EA-BF81-4385-9C0B-5BA8B81FC0A2}"/>
    <cellStyle name="Normal 2 4 2 4 2 5 2 3" xfId="12300" xr:uid="{C4F1EF06-9677-4DF7-8697-CA605CCDAE14}"/>
    <cellStyle name="Normal 2 4 2 4 2 5 3" xfId="5923" xr:uid="{00000000-0005-0000-0000-0000570F0000}"/>
    <cellStyle name="Normal 2 4 2 4 2 5 3 2" xfId="14373" xr:uid="{726FD0AA-EFD3-4888-AB28-D8FCF66E04FC}"/>
    <cellStyle name="Normal 2 4 2 4 2 5 4" xfId="10155" xr:uid="{FCE89757-15E6-4B9E-89FF-2EC83015EA84}"/>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2 2 2" xfId="16931" xr:uid="{712E5AEB-F8E2-4BD6-9633-1F171736570D}"/>
    <cellStyle name="Normal 2 4 2 4 2 6 2 3" xfId="12713" xr:uid="{88CDCF18-585C-4226-875B-699C6C3959D0}"/>
    <cellStyle name="Normal 2 4 2 4 2 6 3" xfId="6336" xr:uid="{00000000-0005-0000-0000-00005B0F0000}"/>
    <cellStyle name="Normal 2 4 2 4 2 6 3 2" xfId="14786" xr:uid="{CC5BD7DC-EC01-4037-B8BA-DCCAA74DE82F}"/>
    <cellStyle name="Normal 2 4 2 4 2 6 4" xfId="10568" xr:uid="{44D1F30F-56A7-4D83-A99F-77FAF6460E48}"/>
    <cellStyle name="Normal 2 4 2 4 2 7" xfId="2466" xr:uid="{00000000-0005-0000-0000-00005C0F0000}"/>
    <cellStyle name="Normal 2 4 2 4 2 7 2" xfId="6749" xr:uid="{00000000-0005-0000-0000-00005D0F0000}"/>
    <cellStyle name="Normal 2 4 2 4 2 7 2 2" xfId="15199" xr:uid="{820644AB-9493-4FAA-BE94-9EE60CB640F0}"/>
    <cellStyle name="Normal 2 4 2 4 2 7 3" xfId="10981" xr:uid="{4F6878CF-E872-408D-AC1F-00447ED63973}"/>
    <cellStyle name="Normal 2 4 2 4 2 8" xfId="4683" xr:uid="{00000000-0005-0000-0000-00005E0F0000}"/>
    <cellStyle name="Normal 2 4 2 4 2 8 2" xfId="13133" xr:uid="{C3AD1207-B579-4391-8473-1D2F1BE5146A}"/>
    <cellStyle name="Normal 2 4 2 4 2 9" xfId="8915" xr:uid="{DC6B5B84-6A99-490E-BB56-CEB9FDC63FD9}"/>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2 2 2" xfId="15694" xr:uid="{83795341-A0D6-4128-9D76-FC4270F32386}"/>
    <cellStyle name="Normal 2 4 2 4 3 2 2 3" xfId="11476" xr:uid="{C3C6290E-B8E1-484D-96CF-ACF19EE45924}"/>
    <cellStyle name="Normal 2 4 2 4 3 2 3" xfId="5099" xr:uid="{00000000-0005-0000-0000-0000630F0000}"/>
    <cellStyle name="Normal 2 4 2 4 3 2 3 2" xfId="13549" xr:uid="{6CAA968F-8255-46C5-B16C-990F3E8DE5CE}"/>
    <cellStyle name="Normal 2 4 2 4 3 2 4" xfId="9331" xr:uid="{8DDB402D-F912-4B31-B9E1-89354B8E03C2}"/>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2 2 2" xfId="16107" xr:uid="{A99C9946-DF34-4781-B92D-2D028578784C}"/>
    <cellStyle name="Normal 2 4 2 4 3 3 2 3" xfId="11889" xr:uid="{AF019AB3-EE72-4FF3-ADFA-5FBD501035F9}"/>
    <cellStyle name="Normal 2 4 2 4 3 3 3" xfId="5512" xr:uid="{00000000-0005-0000-0000-0000670F0000}"/>
    <cellStyle name="Normal 2 4 2 4 3 3 3 2" xfId="13962" xr:uid="{0F749C07-AA52-45DE-93EE-740F139BC73E}"/>
    <cellStyle name="Normal 2 4 2 4 3 3 4" xfId="9744" xr:uid="{B3014623-3030-498F-93D3-BA88230B78C2}"/>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2 2 2" xfId="16520" xr:uid="{4C78B3BC-40CA-435A-9C7B-6785275C4609}"/>
    <cellStyle name="Normal 2 4 2 4 3 4 2 3" xfId="12302" xr:uid="{2BE331D0-FED7-476E-A0AB-9031B29D77CE}"/>
    <cellStyle name="Normal 2 4 2 4 3 4 3" xfId="5925" xr:uid="{00000000-0005-0000-0000-00006B0F0000}"/>
    <cellStyle name="Normal 2 4 2 4 3 4 3 2" xfId="14375" xr:uid="{3295C510-7257-4ED2-961D-1077E5C9BDF4}"/>
    <cellStyle name="Normal 2 4 2 4 3 4 4" xfId="10157" xr:uid="{55AA1C7C-D291-4DE4-89D2-A8FF400885A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2 2 2" xfId="16933" xr:uid="{DBED27F0-6817-4718-9DA4-1A212B8DFA7B}"/>
    <cellStyle name="Normal 2 4 2 4 3 5 2 3" xfId="12715" xr:uid="{BEC41A59-B4DA-4F42-81AF-BCE73BFE7182}"/>
    <cellStyle name="Normal 2 4 2 4 3 5 3" xfId="6338" xr:uid="{00000000-0005-0000-0000-00006F0F0000}"/>
    <cellStyle name="Normal 2 4 2 4 3 5 3 2" xfId="14788" xr:uid="{B785A049-9C26-48AC-83A9-CDDD83D2D345}"/>
    <cellStyle name="Normal 2 4 2 4 3 5 4" xfId="10570" xr:uid="{641B1A2A-6466-48A3-91E8-EC76DCC8CA93}"/>
    <cellStyle name="Normal 2 4 2 4 3 6" xfId="2468" xr:uid="{00000000-0005-0000-0000-0000700F0000}"/>
    <cellStyle name="Normal 2 4 2 4 3 6 2" xfId="6751" xr:uid="{00000000-0005-0000-0000-0000710F0000}"/>
    <cellStyle name="Normal 2 4 2 4 3 6 2 2" xfId="15201" xr:uid="{D26A8A43-8092-41B1-BCA8-853D3D0601FB}"/>
    <cellStyle name="Normal 2 4 2 4 3 6 3" xfId="10983" xr:uid="{CD66D154-005E-462E-A616-E9CBC3024839}"/>
    <cellStyle name="Normal 2 4 2 4 3 7" xfId="4685" xr:uid="{00000000-0005-0000-0000-0000720F0000}"/>
    <cellStyle name="Normal 2 4 2 4 3 7 2" xfId="13135" xr:uid="{981F50BB-072C-4952-AB8B-3FFE5503784A}"/>
    <cellStyle name="Normal 2 4 2 4 3 8" xfId="8917" xr:uid="{F9AB0F00-BBDD-4E59-9195-FA32B1B0F1F3}"/>
    <cellStyle name="Normal 2 4 2 4 4" xfId="780" xr:uid="{00000000-0005-0000-0000-0000730F0000}"/>
    <cellStyle name="Normal 2 4 2 4 4 2" xfId="3019" xr:uid="{00000000-0005-0000-0000-0000740F0000}"/>
    <cellStyle name="Normal 2 4 2 4 4 2 2" xfId="7241" xr:uid="{00000000-0005-0000-0000-0000750F0000}"/>
    <cellStyle name="Normal 2 4 2 4 4 2 2 2" xfId="15691" xr:uid="{199474A9-DA0A-486F-BB3E-6D2BF6C966EB}"/>
    <cellStyle name="Normal 2 4 2 4 4 2 3" xfId="11473" xr:uid="{8F8965E2-AA07-467C-B7F9-D07DE7A96A0E}"/>
    <cellStyle name="Normal 2 4 2 4 4 3" xfId="5096" xr:uid="{00000000-0005-0000-0000-0000760F0000}"/>
    <cellStyle name="Normal 2 4 2 4 4 3 2" xfId="13546" xr:uid="{00D32C31-4FE6-45A6-840C-6860364C608C}"/>
    <cellStyle name="Normal 2 4 2 4 4 4" xfId="9328" xr:uid="{DAD2AD38-BD20-4B76-AEB1-3B8AB6EAF20E}"/>
    <cellStyle name="Normal 2 4 2 4 5" xfId="1202" xr:uid="{00000000-0005-0000-0000-0000770F0000}"/>
    <cellStyle name="Normal 2 4 2 4 5 2" xfId="3432" xr:uid="{00000000-0005-0000-0000-0000780F0000}"/>
    <cellStyle name="Normal 2 4 2 4 5 2 2" xfId="7654" xr:uid="{00000000-0005-0000-0000-0000790F0000}"/>
    <cellStyle name="Normal 2 4 2 4 5 2 2 2" xfId="16104" xr:uid="{4B7F25C6-A425-4300-8F1B-9429F1376FFE}"/>
    <cellStyle name="Normal 2 4 2 4 5 2 3" xfId="11886" xr:uid="{A5994458-6323-4FCF-827D-4647A025DB82}"/>
    <cellStyle name="Normal 2 4 2 4 5 3" xfId="5509" xr:uid="{00000000-0005-0000-0000-00007A0F0000}"/>
    <cellStyle name="Normal 2 4 2 4 5 3 2" xfId="13959" xr:uid="{CED1C66B-BF22-437A-936F-6ABD8ABD9439}"/>
    <cellStyle name="Normal 2 4 2 4 5 4" xfId="9741" xr:uid="{1D4F332F-932D-4459-B321-4796B45AF6AA}"/>
    <cellStyle name="Normal 2 4 2 4 6" xfId="1615" xr:uid="{00000000-0005-0000-0000-00007B0F0000}"/>
    <cellStyle name="Normal 2 4 2 4 6 2" xfId="3845" xr:uid="{00000000-0005-0000-0000-00007C0F0000}"/>
    <cellStyle name="Normal 2 4 2 4 6 2 2" xfId="8067" xr:uid="{00000000-0005-0000-0000-00007D0F0000}"/>
    <cellStyle name="Normal 2 4 2 4 6 2 2 2" xfId="16517" xr:uid="{3EADA63E-5747-4C7A-B5A1-71E6CAEEF230}"/>
    <cellStyle name="Normal 2 4 2 4 6 2 3" xfId="12299" xr:uid="{295F35A8-F418-4472-8CBD-82A2EF1B3177}"/>
    <cellStyle name="Normal 2 4 2 4 6 3" xfId="5922" xr:uid="{00000000-0005-0000-0000-00007E0F0000}"/>
    <cellStyle name="Normal 2 4 2 4 6 3 2" xfId="14372" xr:uid="{ED53EDBF-CF37-46B7-9699-2DF158CBBC57}"/>
    <cellStyle name="Normal 2 4 2 4 6 4" xfId="10154" xr:uid="{A6D8E5EC-B292-4E10-AA43-BAC04D940882}"/>
    <cellStyle name="Normal 2 4 2 4 7" xfId="2029" xr:uid="{00000000-0005-0000-0000-00007F0F0000}"/>
    <cellStyle name="Normal 2 4 2 4 7 2" xfId="4258" xr:uid="{00000000-0005-0000-0000-0000800F0000}"/>
    <cellStyle name="Normal 2 4 2 4 7 2 2" xfId="8480" xr:uid="{00000000-0005-0000-0000-0000810F0000}"/>
    <cellStyle name="Normal 2 4 2 4 7 2 2 2" xfId="16930" xr:uid="{C4E548E0-F7B9-446B-94D4-684D8CAAD2F5}"/>
    <cellStyle name="Normal 2 4 2 4 7 2 3" xfId="12712" xr:uid="{AC662854-123D-485E-9100-A736AC1751B0}"/>
    <cellStyle name="Normal 2 4 2 4 7 3" xfId="6335" xr:uid="{00000000-0005-0000-0000-0000820F0000}"/>
    <cellStyle name="Normal 2 4 2 4 7 3 2" xfId="14785" xr:uid="{7FCF2EDD-CFD5-43C1-AB00-34D6C62A44C1}"/>
    <cellStyle name="Normal 2 4 2 4 7 4" xfId="10567" xr:uid="{E887FA30-3DF2-470A-88AE-B5FBFB161526}"/>
    <cellStyle name="Normal 2 4 2 4 8" xfId="2465" xr:uid="{00000000-0005-0000-0000-0000830F0000}"/>
    <cellStyle name="Normal 2 4 2 4 8 2" xfId="6748" xr:uid="{00000000-0005-0000-0000-0000840F0000}"/>
    <cellStyle name="Normal 2 4 2 4 8 2 2" xfId="15198" xr:uid="{92017830-84B8-43D7-84B4-FBA5819C3368}"/>
    <cellStyle name="Normal 2 4 2 4 8 3" xfId="10980" xr:uid="{B4446BA9-0387-4F01-ADC1-9C80ACCA5FB9}"/>
    <cellStyle name="Normal 2 4 2 4 9" xfId="4682" xr:uid="{00000000-0005-0000-0000-0000850F0000}"/>
    <cellStyle name="Normal 2 4 2 4 9 2" xfId="13132" xr:uid="{B56AE305-7206-4CD8-96F2-91EC4AE46E0E}"/>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2 2 2" xfId="15696" xr:uid="{44C1DE09-2F55-44DA-8939-2C059F77EC58}"/>
    <cellStyle name="Normal 2 4 2 5 2 2 2 3" xfId="11478" xr:uid="{6FA4DBB1-DE8B-4AB7-A909-948E4854E699}"/>
    <cellStyle name="Normal 2 4 2 5 2 2 3" xfId="5101" xr:uid="{00000000-0005-0000-0000-00008B0F0000}"/>
    <cellStyle name="Normal 2 4 2 5 2 2 3 2" xfId="13551" xr:uid="{349AC02A-CFFE-4A46-8358-E2C6AA42FC7F}"/>
    <cellStyle name="Normal 2 4 2 5 2 2 4" xfId="9333" xr:uid="{A6ADF8E4-ADF4-44B5-9940-1BFC7AFD1993}"/>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2 2 2" xfId="16109" xr:uid="{3C24B1DB-990F-49B3-B99E-6F0985EE460D}"/>
    <cellStyle name="Normal 2 4 2 5 2 3 2 3" xfId="11891" xr:uid="{CEAAD543-C0EA-4E56-874C-E6065D2DD262}"/>
    <cellStyle name="Normal 2 4 2 5 2 3 3" xfId="5514" xr:uid="{00000000-0005-0000-0000-00008F0F0000}"/>
    <cellStyle name="Normal 2 4 2 5 2 3 3 2" xfId="13964" xr:uid="{F5BD1922-6236-4C8A-815E-AB814F993ECE}"/>
    <cellStyle name="Normal 2 4 2 5 2 3 4" xfId="9746" xr:uid="{22D3E3BB-2F20-4230-86C5-01DE09FBB544}"/>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2 2 2" xfId="16522" xr:uid="{E0EA03CF-3EED-47E4-80C2-62CB909656A2}"/>
    <cellStyle name="Normal 2 4 2 5 2 4 2 3" xfId="12304" xr:uid="{947711D5-3F26-4A65-8368-FA7015840B54}"/>
    <cellStyle name="Normal 2 4 2 5 2 4 3" xfId="5927" xr:uid="{00000000-0005-0000-0000-0000930F0000}"/>
    <cellStyle name="Normal 2 4 2 5 2 4 3 2" xfId="14377" xr:uid="{63838375-9FFB-4F2D-8920-BEB7EA998FBC}"/>
    <cellStyle name="Normal 2 4 2 5 2 4 4" xfId="10159" xr:uid="{311D0513-5C9A-45E8-A0A8-E3BF5928E081}"/>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2 2 2" xfId="16935" xr:uid="{C01488B6-F2A3-4A40-8209-40EB249F14F5}"/>
    <cellStyle name="Normal 2 4 2 5 2 5 2 3" xfId="12717" xr:uid="{89135350-46D0-46FB-ACAB-E69B628AB985}"/>
    <cellStyle name="Normal 2 4 2 5 2 5 3" xfId="6340" xr:uid="{00000000-0005-0000-0000-0000970F0000}"/>
    <cellStyle name="Normal 2 4 2 5 2 5 3 2" xfId="14790" xr:uid="{CDC9B019-A8A3-46B2-AAC6-A4EE9120D4AB}"/>
    <cellStyle name="Normal 2 4 2 5 2 5 4" xfId="10572" xr:uid="{8CF60DA4-2AE5-4835-9BA1-DC7A150F417B}"/>
    <cellStyle name="Normal 2 4 2 5 2 6" xfId="2470" xr:uid="{00000000-0005-0000-0000-0000980F0000}"/>
    <cellStyle name="Normal 2 4 2 5 2 6 2" xfId="6753" xr:uid="{00000000-0005-0000-0000-0000990F0000}"/>
    <cellStyle name="Normal 2 4 2 5 2 6 2 2" xfId="15203" xr:uid="{772DCD39-4CFA-4BEE-82CE-8C0A799EA8FC}"/>
    <cellStyle name="Normal 2 4 2 5 2 6 3" xfId="10985" xr:uid="{39C29044-66EE-4247-8A51-F1ADE6863A9E}"/>
    <cellStyle name="Normal 2 4 2 5 2 7" xfId="4687" xr:uid="{00000000-0005-0000-0000-00009A0F0000}"/>
    <cellStyle name="Normal 2 4 2 5 2 7 2" xfId="13137" xr:uid="{ADA9FBA3-3678-469F-B12B-1CBA57A68720}"/>
    <cellStyle name="Normal 2 4 2 5 2 8" xfId="8919" xr:uid="{D075217F-A001-48DB-883F-6131A7842CE7}"/>
    <cellStyle name="Normal 2 4 2 5 3" xfId="784" xr:uid="{00000000-0005-0000-0000-00009B0F0000}"/>
    <cellStyle name="Normal 2 4 2 5 3 2" xfId="3023" xr:uid="{00000000-0005-0000-0000-00009C0F0000}"/>
    <cellStyle name="Normal 2 4 2 5 3 2 2" xfId="7245" xr:uid="{00000000-0005-0000-0000-00009D0F0000}"/>
    <cellStyle name="Normal 2 4 2 5 3 2 2 2" xfId="15695" xr:uid="{FE9307F6-0314-41BF-B6EF-3745D08F5EAB}"/>
    <cellStyle name="Normal 2 4 2 5 3 2 3" xfId="11477" xr:uid="{6F126561-23CE-4DA8-909A-2018F2D86D78}"/>
    <cellStyle name="Normal 2 4 2 5 3 3" xfId="5100" xr:uid="{00000000-0005-0000-0000-00009E0F0000}"/>
    <cellStyle name="Normal 2 4 2 5 3 3 2" xfId="13550" xr:uid="{8000F6F0-C77D-4A69-87DF-53134FF162DF}"/>
    <cellStyle name="Normal 2 4 2 5 3 4" xfId="9332" xr:uid="{9AB6F1D6-9A8B-4239-93E2-034D4047067D}"/>
    <cellStyle name="Normal 2 4 2 5 4" xfId="1206" xr:uid="{00000000-0005-0000-0000-00009F0F0000}"/>
    <cellStyle name="Normal 2 4 2 5 4 2" xfId="3436" xr:uid="{00000000-0005-0000-0000-0000A00F0000}"/>
    <cellStyle name="Normal 2 4 2 5 4 2 2" xfId="7658" xr:uid="{00000000-0005-0000-0000-0000A10F0000}"/>
    <cellStyle name="Normal 2 4 2 5 4 2 2 2" xfId="16108" xr:uid="{BDB653D8-A020-4B32-99A7-560E2BD4A7F9}"/>
    <cellStyle name="Normal 2 4 2 5 4 2 3" xfId="11890" xr:uid="{B9BE3767-2A07-4F32-9CAC-044EFE7EC4A5}"/>
    <cellStyle name="Normal 2 4 2 5 4 3" xfId="5513" xr:uid="{00000000-0005-0000-0000-0000A20F0000}"/>
    <cellStyle name="Normal 2 4 2 5 4 3 2" xfId="13963" xr:uid="{D72F4D7D-C3F1-429D-A0D9-2E2EE549597B}"/>
    <cellStyle name="Normal 2 4 2 5 4 4" xfId="9745" xr:uid="{0FFAB413-25D5-482A-9227-6CC0569D382D}"/>
    <cellStyle name="Normal 2 4 2 5 5" xfId="1619" xr:uid="{00000000-0005-0000-0000-0000A30F0000}"/>
    <cellStyle name="Normal 2 4 2 5 5 2" xfId="3849" xr:uid="{00000000-0005-0000-0000-0000A40F0000}"/>
    <cellStyle name="Normal 2 4 2 5 5 2 2" xfId="8071" xr:uid="{00000000-0005-0000-0000-0000A50F0000}"/>
    <cellStyle name="Normal 2 4 2 5 5 2 2 2" xfId="16521" xr:uid="{D3F15253-5CE5-4E45-87A8-09266BBAF3C9}"/>
    <cellStyle name="Normal 2 4 2 5 5 2 3" xfId="12303" xr:uid="{14D5C380-97DB-45AE-BBBA-986C90442DCB}"/>
    <cellStyle name="Normal 2 4 2 5 5 3" xfId="5926" xr:uid="{00000000-0005-0000-0000-0000A60F0000}"/>
    <cellStyle name="Normal 2 4 2 5 5 3 2" xfId="14376" xr:uid="{4E2F0C0E-6BBA-4E59-A632-17190100C5A8}"/>
    <cellStyle name="Normal 2 4 2 5 5 4" xfId="10158" xr:uid="{AFD0EB51-3B58-4EA2-BFCE-CA482B6D9747}"/>
    <cellStyle name="Normal 2 4 2 5 6" xfId="2033" xr:uid="{00000000-0005-0000-0000-0000A70F0000}"/>
    <cellStyle name="Normal 2 4 2 5 6 2" xfId="4262" xr:uid="{00000000-0005-0000-0000-0000A80F0000}"/>
    <cellStyle name="Normal 2 4 2 5 6 2 2" xfId="8484" xr:uid="{00000000-0005-0000-0000-0000A90F0000}"/>
    <cellStyle name="Normal 2 4 2 5 6 2 2 2" xfId="16934" xr:uid="{77C5209E-6AB1-4B92-BD34-9980DC968059}"/>
    <cellStyle name="Normal 2 4 2 5 6 2 3" xfId="12716" xr:uid="{903EEF8C-DF34-42E0-B100-6613498CE34E}"/>
    <cellStyle name="Normal 2 4 2 5 6 3" xfId="6339" xr:uid="{00000000-0005-0000-0000-0000AA0F0000}"/>
    <cellStyle name="Normal 2 4 2 5 6 3 2" xfId="14789" xr:uid="{382E5450-9BF5-48C2-9A6F-82FF5E536F58}"/>
    <cellStyle name="Normal 2 4 2 5 6 4" xfId="10571" xr:uid="{DC572CE3-0332-4F96-B2B1-D66328937F0F}"/>
    <cellStyle name="Normal 2 4 2 5 7" xfId="2469" xr:uid="{00000000-0005-0000-0000-0000AB0F0000}"/>
    <cellStyle name="Normal 2 4 2 5 7 2" xfId="6752" xr:uid="{00000000-0005-0000-0000-0000AC0F0000}"/>
    <cellStyle name="Normal 2 4 2 5 7 2 2" xfId="15202" xr:uid="{ADBE5340-8C17-403C-9003-9BA2C48AB522}"/>
    <cellStyle name="Normal 2 4 2 5 7 3" xfId="10984" xr:uid="{D1F5169F-A60E-4ED0-A339-7052CA2A1250}"/>
    <cellStyle name="Normal 2 4 2 5 8" xfId="4686" xr:uid="{00000000-0005-0000-0000-0000AD0F0000}"/>
    <cellStyle name="Normal 2 4 2 5 8 2" xfId="13136" xr:uid="{617D8E94-D566-401E-B791-94CB7899AAE4}"/>
    <cellStyle name="Normal 2 4 2 5 9" xfId="8918" xr:uid="{77FD592B-E61E-4877-A56F-B0316D22CB48}"/>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2 2 2" xfId="15697" xr:uid="{CD815948-5B1E-4073-854E-F8690010B528}"/>
    <cellStyle name="Normal 2 4 2 6 2 2 3" xfId="11479" xr:uid="{143B070E-ACD5-4D8A-9E26-73751F4308C1}"/>
    <cellStyle name="Normal 2 4 2 6 2 3" xfId="5102" xr:uid="{00000000-0005-0000-0000-0000B20F0000}"/>
    <cellStyle name="Normal 2 4 2 6 2 3 2" xfId="13552" xr:uid="{BEAFAE9E-2EB1-416C-95C4-C15CA230E5CD}"/>
    <cellStyle name="Normal 2 4 2 6 2 4" xfId="9334" xr:uid="{8AB0F7A3-B2F0-404C-A6B3-DEB3A5ECCB5C}"/>
    <cellStyle name="Normal 2 4 2 6 3" xfId="1208" xr:uid="{00000000-0005-0000-0000-0000B30F0000}"/>
    <cellStyle name="Normal 2 4 2 6 3 2" xfId="3438" xr:uid="{00000000-0005-0000-0000-0000B40F0000}"/>
    <cellStyle name="Normal 2 4 2 6 3 2 2" xfId="7660" xr:uid="{00000000-0005-0000-0000-0000B50F0000}"/>
    <cellStyle name="Normal 2 4 2 6 3 2 2 2" xfId="16110" xr:uid="{E083AD3E-5543-4E19-8BED-3CC39A5B4E74}"/>
    <cellStyle name="Normal 2 4 2 6 3 2 3" xfId="11892" xr:uid="{E35135DC-00E6-4088-9BE3-EECF332750A2}"/>
    <cellStyle name="Normal 2 4 2 6 3 3" xfId="5515" xr:uid="{00000000-0005-0000-0000-0000B60F0000}"/>
    <cellStyle name="Normal 2 4 2 6 3 3 2" xfId="13965" xr:uid="{D9C1DA02-5169-4440-9705-FBFEF3EB4E76}"/>
    <cellStyle name="Normal 2 4 2 6 3 4" xfId="9747" xr:uid="{FCC5CC1D-230C-46DB-A35F-C4730B95A4AD}"/>
    <cellStyle name="Normal 2 4 2 6 4" xfId="1621" xr:uid="{00000000-0005-0000-0000-0000B70F0000}"/>
    <cellStyle name="Normal 2 4 2 6 4 2" xfId="3851" xr:uid="{00000000-0005-0000-0000-0000B80F0000}"/>
    <cellStyle name="Normal 2 4 2 6 4 2 2" xfId="8073" xr:uid="{00000000-0005-0000-0000-0000B90F0000}"/>
    <cellStyle name="Normal 2 4 2 6 4 2 2 2" xfId="16523" xr:uid="{92979B11-298E-481A-96DB-E9EFFFFB227D}"/>
    <cellStyle name="Normal 2 4 2 6 4 2 3" xfId="12305" xr:uid="{3687795E-040F-4ED6-A7F8-B0B3A039C210}"/>
    <cellStyle name="Normal 2 4 2 6 4 3" xfId="5928" xr:uid="{00000000-0005-0000-0000-0000BA0F0000}"/>
    <cellStyle name="Normal 2 4 2 6 4 3 2" xfId="14378" xr:uid="{9DEE31B1-CB0E-47A3-A666-49703E26AAF0}"/>
    <cellStyle name="Normal 2 4 2 6 4 4" xfId="10160" xr:uid="{AD3D70B6-AA8F-45C3-A806-5AE885CDEC19}"/>
    <cellStyle name="Normal 2 4 2 6 5" xfId="2035" xr:uid="{00000000-0005-0000-0000-0000BB0F0000}"/>
    <cellStyle name="Normal 2 4 2 6 5 2" xfId="4264" xr:uid="{00000000-0005-0000-0000-0000BC0F0000}"/>
    <cellStyle name="Normal 2 4 2 6 5 2 2" xfId="8486" xr:uid="{00000000-0005-0000-0000-0000BD0F0000}"/>
    <cellStyle name="Normal 2 4 2 6 5 2 2 2" xfId="16936" xr:uid="{B2A4D42B-C82E-4424-9006-B4E425E61AE4}"/>
    <cellStyle name="Normal 2 4 2 6 5 2 3" xfId="12718" xr:uid="{78E735AB-35FC-449B-80DD-9039C5C6ECC8}"/>
    <cellStyle name="Normal 2 4 2 6 5 3" xfId="6341" xr:uid="{00000000-0005-0000-0000-0000BE0F0000}"/>
    <cellStyle name="Normal 2 4 2 6 5 3 2" xfId="14791" xr:uid="{E793B4D1-B444-4A95-BF5F-5E47DAE4C889}"/>
    <cellStyle name="Normal 2 4 2 6 5 4" xfId="10573" xr:uid="{5241A7FD-CE30-4638-A9E3-C5EA884AF919}"/>
    <cellStyle name="Normal 2 4 2 6 6" xfId="2471" xr:uid="{00000000-0005-0000-0000-0000BF0F0000}"/>
    <cellStyle name="Normal 2 4 2 6 6 2" xfId="6754" xr:uid="{00000000-0005-0000-0000-0000C00F0000}"/>
    <cellStyle name="Normal 2 4 2 6 6 2 2" xfId="15204" xr:uid="{15F7967F-9BB6-411D-AE6A-F32E01C7151B}"/>
    <cellStyle name="Normal 2 4 2 6 6 3" xfId="10986" xr:uid="{2A9872E3-13E6-4EA8-B174-3993C158AD89}"/>
    <cellStyle name="Normal 2 4 2 6 7" xfId="4688" xr:uid="{00000000-0005-0000-0000-0000C10F0000}"/>
    <cellStyle name="Normal 2 4 2 6 7 2" xfId="13138" xr:uid="{42F0C0ED-89E9-4F44-BE6C-6D6180A23110}"/>
    <cellStyle name="Normal 2 4 2 6 8" xfId="8920" xr:uid="{B580104E-DA93-4539-B262-82A5F4492FE6}"/>
    <cellStyle name="Normal 2 4 2 7" xfId="771" xr:uid="{00000000-0005-0000-0000-0000C20F0000}"/>
    <cellStyle name="Normal 2 4 2 7 2" xfId="3010" xr:uid="{00000000-0005-0000-0000-0000C30F0000}"/>
    <cellStyle name="Normal 2 4 2 7 2 2" xfId="7232" xr:uid="{00000000-0005-0000-0000-0000C40F0000}"/>
    <cellStyle name="Normal 2 4 2 7 2 2 2" xfId="15682" xr:uid="{6A42E838-3913-41F5-B420-705D364B2357}"/>
    <cellStyle name="Normal 2 4 2 7 2 3" xfId="11464" xr:uid="{49B8968F-DF63-4453-8768-E9C8A9131764}"/>
    <cellStyle name="Normal 2 4 2 7 3" xfId="5087" xr:uid="{00000000-0005-0000-0000-0000C50F0000}"/>
    <cellStyle name="Normal 2 4 2 7 3 2" xfId="13537" xr:uid="{B0108A30-66EB-4B20-B421-03D7550195AB}"/>
    <cellStyle name="Normal 2 4 2 7 4" xfId="9319" xr:uid="{EE7BD831-59EF-433E-A31F-E684FD834357}"/>
    <cellStyle name="Normal 2 4 2 8" xfId="1193" xr:uid="{00000000-0005-0000-0000-0000C60F0000}"/>
    <cellStyle name="Normal 2 4 2 8 2" xfId="3423" xr:uid="{00000000-0005-0000-0000-0000C70F0000}"/>
    <cellStyle name="Normal 2 4 2 8 2 2" xfId="7645" xr:uid="{00000000-0005-0000-0000-0000C80F0000}"/>
    <cellStyle name="Normal 2 4 2 8 2 2 2" xfId="16095" xr:uid="{FDCE3CDC-02C1-4549-81C7-BF7DFBB17CB2}"/>
    <cellStyle name="Normal 2 4 2 8 2 3" xfId="11877" xr:uid="{40FAE070-32EC-4881-88D1-860411A0A906}"/>
    <cellStyle name="Normal 2 4 2 8 3" xfId="5500" xr:uid="{00000000-0005-0000-0000-0000C90F0000}"/>
    <cellStyle name="Normal 2 4 2 8 3 2" xfId="13950" xr:uid="{C765F04B-B8AE-430D-8EEE-632C4C94C4DB}"/>
    <cellStyle name="Normal 2 4 2 8 4" xfId="9732" xr:uid="{2BDC2A2E-4973-493E-B9A2-B50531BEAC2E}"/>
    <cellStyle name="Normal 2 4 2 9" xfId="1606" xr:uid="{00000000-0005-0000-0000-0000CA0F0000}"/>
    <cellStyle name="Normal 2 4 2 9 2" xfId="3836" xr:uid="{00000000-0005-0000-0000-0000CB0F0000}"/>
    <cellStyle name="Normal 2 4 2 9 2 2" xfId="8058" xr:uid="{00000000-0005-0000-0000-0000CC0F0000}"/>
    <cellStyle name="Normal 2 4 2 9 2 2 2" xfId="16508" xr:uid="{E653B99C-65D3-4812-BCDD-F3DEEE4316CA}"/>
    <cellStyle name="Normal 2 4 2 9 2 3" xfId="12290" xr:uid="{07C844B4-8C0D-4BB3-8F8C-4D3DAC0BADB3}"/>
    <cellStyle name="Normal 2 4 2 9 3" xfId="5913" xr:uid="{00000000-0005-0000-0000-0000CD0F0000}"/>
    <cellStyle name="Normal 2 4 2 9 3 2" xfId="14363" xr:uid="{5F0628B7-5737-4100-8ED0-26D941B3923C}"/>
    <cellStyle name="Normal 2 4 2 9 4" xfId="10145" xr:uid="{9AE54F3C-5122-420B-9E4F-EF5A0D98382F}"/>
    <cellStyle name="Normal 2 4 3" xfId="296" xr:uid="{00000000-0005-0000-0000-0000CE0F0000}"/>
    <cellStyle name="Normal 2 4 3 10" xfId="8921" xr:uid="{737B8FE8-34C1-4B22-A37C-14EC33801EFA}"/>
    <cellStyle name="Normal 2 4 3 2" xfId="297" xr:uid="{00000000-0005-0000-0000-0000CF0F0000}"/>
    <cellStyle name="Normal 2 4 3 3" xfId="298" xr:uid="{00000000-0005-0000-0000-0000D00F0000}"/>
    <cellStyle name="Normal 2 4 3 3 10" xfId="8922" xr:uid="{57A37409-567B-410C-96DB-67B6C9618CC3}"/>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2 2 2" xfId="15701" xr:uid="{8E0DD69A-1B6C-4053-938D-CD044F995AB9}"/>
    <cellStyle name="Normal 2 4 3 3 2 2 2 2 3" xfId="11483" xr:uid="{657CCC94-B858-441C-8F70-08D859CE3FE2}"/>
    <cellStyle name="Normal 2 4 3 3 2 2 2 3" xfId="5106" xr:uid="{00000000-0005-0000-0000-0000D60F0000}"/>
    <cellStyle name="Normal 2 4 3 3 2 2 2 3 2" xfId="13556" xr:uid="{1FB1ABB4-39F6-41C5-835A-50A8077CF96D}"/>
    <cellStyle name="Normal 2 4 3 3 2 2 2 4" xfId="9338" xr:uid="{1FC9AC93-8393-4EEF-8E67-5B6F7509FBFD}"/>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2 2 2" xfId="16114" xr:uid="{4E0249BB-7E44-4498-8D45-4D89A3E82377}"/>
    <cellStyle name="Normal 2 4 3 3 2 2 3 2 3" xfId="11896" xr:uid="{8AF99104-EDCF-4D63-9D84-00DC46C73C7D}"/>
    <cellStyle name="Normal 2 4 3 3 2 2 3 3" xfId="5519" xr:uid="{00000000-0005-0000-0000-0000DA0F0000}"/>
    <cellStyle name="Normal 2 4 3 3 2 2 3 3 2" xfId="13969" xr:uid="{F975DF50-4A19-4B4A-AE76-37F6B5831794}"/>
    <cellStyle name="Normal 2 4 3 3 2 2 3 4" xfId="9751" xr:uid="{DC781E00-3026-4EDA-99A8-86301743D83D}"/>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2 2 2" xfId="16527" xr:uid="{D3D2F3F9-AAC1-4091-8CA7-BA4D6A92F766}"/>
    <cellStyle name="Normal 2 4 3 3 2 2 4 2 3" xfId="12309" xr:uid="{D99118BC-D25E-4CD9-9F4E-4CD37EEB0D8E}"/>
    <cellStyle name="Normal 2 4 3 3 2 2 4 3" xfId="5932" xr:uid="{00000000-0005-0000-0000-0000DE0F0000}"/>
    <cellStyle name="Normal 2 4 3 3 2 2 4 3 2" xfId="14382" xr:uid="{257472F4-291F-4622-A8A1-B7FB0C12E69C}"/>
    <cellStyle name="Normal 2 4 3 3 2 2 4 4" xfId="10164" xr:uid="{2AAEBEB4-BFE0-40D8-99A0-AC929E3B1F13}"/>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2 2 2" xfId="16940" xr:uid="{D6B421E2-A3E3-426D-852C-3F3B0C0F2FE4}"/>
    <cellStyle name="Normal 2 4 3 3 2 2 5 2 3" xfId="12722" xr:uid="{6C1E545C-A620-4CDE-8BF8-A580C2A04637}"/>
    <cellStyle name="Normal 2 4 3 3 2 2 5 3" xfId="6345" xr:uid="{00000000-0005-0000-0000-0000E20F0000}"/>
    <cellStyle name="Normal 2 4 3 3 2 2 5 3 2" xfId="14795" xr:uid="{A629AD88-69D2-4BE7-91E6-F4E46D8BF3C4}"/>
    <cellStyle name="Normal 2 4 3 3 2 2 5 4" xfId="10577" xr:uid="{A9D79FF1-C22B-4473-90A0-D8B4CD48D2F2}"/>
    <cellStyle name="Normal 2 4 3 3 2 2 6" xfId="2475" xr:uid="{00000000-0005-0000-0000-0000E30F0000}"/>
    <cellStyle name="Normal 2 4 3 3 2 2 6 2" xfId="6758" xr:uid="{00000000-0005-0000-0000-0000E40F0000}"/>
    <cellStyle name="Normal 2 4 3 3 2 2 6 2 2" xfId="15208" xr:uid="{019225B2-83B6-4ABC-8A53-129AD0A29F82}"/>
    <cellStyle name="Normal 2 4 3 3 2 2 6 3" xfId="10990" xr:uid="{40888693-5146-4F5E-A7FC-E16CAB4476DF}"/>
    <cellStyle name="Normal 2 4 3 3 2 2 7" xfId="4692" xr:uid="{00000000-0005-0000-0000-0000E50F0000}"/>
    <cellStyle name="Normal 2 4 3 3 2 2 7 2" xfId="13142" xr:uid="{9779B586-E3AB-4F32-9C01-22A8A7F178DD}"/>
    <cellStyle name="Normal 2 4 3 3 2 2 8" xfId="8924" xr:uid="{2DDA1FEF-E030-401C-9FE0-037319AD23DF}"/>
    <cellStyle name="Normal 2 4 3 3 2 3" xfId="789" xr:uid="{00000000-0005-0000-0000-0000E60F0000}"/>
    <cellStyle name="Normal 2 4 3 3 2 3 2" xfId="3028" xr:uid="{00000000-0005-0000-0000-0000E70F0000}"/>
    <cellStyle name="Normal 2 4 3 3 2 3 2 2" xfId="7250" xr:uid="{00000000-0005-0000-0000-0000E80F0000}"/>
    <cellStyle name="Normal 2 4 3 3 2 3 2 2 2" xfId="15700" xr:uid="{876B5E13-F838-4644-94B7-D70B2E5D88EB}"/>
    <cellStyle name="Normal 2 4 3 3 2 3 2 3" xfId="11482" xr:uid="{A906734C-D741-4BEB-9264-6001DD6AF576}"/>
    <cellStyle name="Normal 2 4 3 3 2 3 3" xfId="5105" xr:uid="{00000000-0005-0000-0000-0000E90F0000}"/>
    <cellStyle name="Normal 2 4 3 3 2 3 3 2" xfId="13555" xr:uid="{F0DF0FF6-0941-4D99-934A-209C2EEA7CBF}"/>
    <cellStyle name="Normal 2 4 3 3 2 3 4" xfId="9337" xr:uid="{97BF2428-A0AB-4771-9284-3D9D8FC878B9}"/>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2 2 2" xfId="16113" xr:uid="{11F02A90-361D-4E40-AA1E-390EE73EABA0}"/>
    <cellStyle name="Normal 2 4 3 3 2 4 2 3" xfId="11895" xr:uid="{88F92C12-2A3A-470C-9A01-AFF0C8C896B9}"/>
    <cellStyle name="Normal 2 4 3 3 2 4 3" xfId="5518" xr:uid="{00000000-0005-0000-0000-0000ED0F0000}"/>
    <cellStyle name="Normal 2 4 3 3 2 4 3 2" xfId="13968" xr:uid="{BFAFD43B-B0B3-4A3B-BA78-21293E9FA35D}"/>
    <cellStyle name="Normal 2 4 3 3 2 4 4" xfId="9750" xr:uid="{8CE33C68-5641-41F9-8F9F-CEC0CB90973C}"/>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2 2 2" xfId="16526" xr:uid="{A9833D80-C560-4B30-8C9A-2913CC6C4E26}"/>
    <cellStyle name="Normal 2 4 3 3 2 5 2 3" xfId="12308" xr:uid="{100A46AA-B0DB-437E-AC8B-2283C365C5BB}"/>
    <cellStyle name="Normal 2 4 3 3 2 5 3" xfId="5931" xr:uid="{00000000-0005-0000-0000-0000F10F0000}"/>
    <cellStyle name="Normal 2 4 3 3 2 5 3 2" xfId="14381" xr:uid="{1FB562B2-96BC-47C4-A367-223BDD6D10D2}"/>
    <cellStyle name="Normal 2 4 3 3 2 5 4" xfId="10163" xr:uid="{415A727A-2F9F-4020-B3F6-8EEE8A8EB343}"/>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2 2 2" xfId="16939" xr:uid="{D42E0B66-78D5-48F8-8609-96A340E942E4}"/>
    <cellStyle name="Normal 2 4 3 3 2 6 2 3" xfId="12721" xr:uid="{C6CE5CBF-4BAD-4404-A6F6-3721E2D3A320}"/>
    <cellStyle name="Normal 2 4 3 3 2 6 3" xfId="6344" xr:uid="{00000000-0005-0000-0000-0000F50F0000}"/>
    <cellStyle name="Normal 2 4 3 3 2 6 3 2" xfId="14794" xr:uid="{E16F64DB-B970-4F6C-9B50-52E444164064}"/>
    <cellStyle name="Normal 2 4 3 3 2 6 4" xfId="10576" xr:uid="{04B7E74D-19C2-4F97-96B0-1BD5D298D0E0}"/>
    <cellStyle name="Normal 2 4 3 3 2 7" xfId="2474" xr:uid="{00000000-0005-0000-0000-0000F60F0000}"/>
    <cellStyle name="Normal 2 4 3 3 2 7 2" xfId="6757" xr:uid="{00000000-0005-0000-0000-0000F70F0000}"/>
    <cellStyle name="Normal 2 4 3 3 2 7 2 2" xfId="15207" xr:uid="{08F3E53E-1E04-48E5-B51C-50A2920BDAD0}"/>
    <cellStyle name="Normal 2 4 3 3 2 7 3" xfId="10989" xr:uid="{F16984E5-6243-4B92-B469-C38DB0A8F8FC}"/>
    <cellStyle name="Normal 2 4 3 3 2 8" xfId="4691" xr:uid="{00000000-0005-0000-0000-0000F80F0000}"/>
    <cellStyle name="Normal 2 4 3 3 2 8 2" xfId="13141" xr:uid="{A800005E-0979-4826-B8DA-BD98C5564D6D}"/>
    <cellStyle name="Normal 2 4 3 3 2 9" xfId="8923" xr:uid="{F91C371E-062B-4DA6-A299-5AA0976C65E1}"/>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2 2 2" xfId="15702" xr:uid="{9743D9A0-2DBD-410C-9CD9-08D7E593014E}"/>
    <cellStyle name="Normal 2 4 3 3 3 2 2 3" xfId="11484" xr:uid="{5C6622D3-036A-478E-9FF0-E3CA2844D306}"/>
    <cellStyle name="Normal 2 4 3 3 3 2 3" xfId="5107" xr:uid="{00000000-0005-0000-0000-0000FD0F0000}"/>
    <cellStyle name="Normal 2 4 3 3 3 2 3 2" xfId="13557" xr:uid="{EE346C19-D461-4AB0-9424-3AD7D2727E77}"/>
    <cellStyle name="Normal 2 4 3 3 3 2 4" xfId="9339" xr:uid="{423751B6-5300-49CD-9490-B8EB359AD239}"/>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2 2 2" xfId="16115" xr:uid="{26DF8976-074C-4BDA-85E2-CD9557BE0CF7}"/>
    <cellStyle name="Normal 2 4 3 3 3 3 2 3" xfId="11897" xr:uid="{92636963-AF2B-49C2-B480-269C4343D820}"/>
    <cellStyle name="Normal 2 4 3 3 3 3 3" xfId="5520" xr:uid="{00000000-0005-0000-0000-000001100000}"/>
    <cellStyle name="Normal 2 4 3 3 3 3 3 2" xfId="13970" xr:uid="{1DCDEABB-7E0E-4A6B-9BEF-A7081AB3FFB2}"/>
    <cellStyle name="Normal 2 4 3 3 3 3 4" xfId="9752" xr:uid="{964E851D-601B-47CA-8D56-308798C4D5D3}"/>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2 2 2" xfId="16528" xr:uid="{1C99609C-EE2A-4269-B851-18257F769448}"/>
    <cellStyle name="Normal 2 4 3 3 3 4 2 3" xfId="12310" xr:uid="{087C9CFA-687D-43B9-984F-E28020BB7DEF}"/>
    <cellStyle name="Normal 2 4 3 3 3 4 3" xfId="5933" xr:uid="{00000000-0005-0000-0000-000005100000}"/>
    <cellStyle name="Normal 2 4 3 3 3 4 3 2" xfId="14383" xr:uid="{45194DBF-B54E-45DC-BE09-0DC547894242}"/>
    <cellStyle name="Normal 2 4 3 3 3 4 4" xfId="10165" xr:uid="{20962460-E3F1-428F-AE9E-B6F1CD15A63F}"/>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2 2 2" xfId="16941" xr:uid="{761B8764-276C-43C5-B591-7D487C5182A0}"/>
    <cellStyle name="Normal 2 4 3 3 3 5 2 3" xfId="12723" xr:uid="{52FE91E1-0A0A-49AD-B282-83FB3E62ADB0}"/>
    <cellStyle name="Normal 2 4 3 3 3 5 3" xfId="6346" xr:uid="{00000000-0005-0000-0000-000009100000}"/>
    <cellStyle name="Normal 2 4 3 3 3 5 3 2" xfId="14796" xr:uid="{55454996-B3F1-4E00-8370-7511D54AAFF8}"/>
    <cellStyle name="Normal 2 4 3 3 3 5 4" xfId="10578" xr:uid="{D59E98B2-FF52-40B9-9200-5717D8C1FBAE}"/>
    <cellStyle name="Normal 2 4 3 3 3 6" xfId="2476" xr:uid="{00000000-0005-0000-0000-00000A100000}"/>
    <cellStyle name="Normal 2 4 3 3 3 6 2" xfId="6759" xr:uid="{00000000-0005-0000-0000-00000B100000}"/>
    <cellStyle name="Normal 2 4 3 3 3 6 2 2" xfId="15209" xr:uid="{444BF208-8523-401F-89B2-02BCBD3121EA}"/>
    <cellStyle name="Normal 2 4 3 3 3 6 3" xfId="10991" xr:uid="{D0588572-B14B-4C70-BC64-001F044C6C65}"/>
    <cellStyle name="Normal 2 4 3 3 3 7" xfId="4693" xr:uid="{00000000-0005-0000-0000-00000C100000}"/>
    <cellStyle name="Normal 2 4 3 3 3 7 2" xfId="13143" xr:uid="{88EBFC88-0C65-4683-936B-E8C5EA240681}"/>
    <cellStyle name="Normal 2 4 3 3 3 8" xfId="8925" xr:uid="{BF0E88E5-C5EE-4FF7-8BDD-FC0978028E91}"/>
    <cellStyle name="Normal 2 4 3 3 4" xfId="788" xr:uid="{00000000-0005-0000-0000-00000D100000}"/>
    <cellStyle name="Normal 2 4 3 3 4 2" xfId="3027" xr:uid="{00000000-0005-0000-0000-00000E100000}"/>
    <cellStyle name="Normal 2 4 3 3 4 2 2" xfId="7249" xr:uid="{00000000-0005-0000-0000-00000F100000}"/>
    <cellStyle name="Normal 2 4 3 3 4 2 2 2" xfId="15699" xr:uid="{067C416C-59A5-48BD-854F-7832CD30B95C}"/>
    <cellStyle name="Normal 2 4 3 3 4 2 3" xfId="11481" xr:uid="{EF7D87FE-C8A1-42E6-940E-210A392E99E0}"/>
    <cellStyle name="Normal 2 4 3 3 4 3" xfId="5104" xr:uid="{00000000-0005-0000-0000-000010100000}"/>
    <cellStyle name="Normal 2 4 3 3 4 3 2" xfId="13554" xr:uid="{34A6A7AA-E52A-4B04-A4F6-F5A4DF65DFB3}"/>
    <cellStyle name="Normal 2 4 3 3 4 4" xfId="9336" xr:uid="{EE01FC88-A48A-4B9D-BFD4-16CB1B393B65}"/>
    <cellStyle name="Normal 2 4 3 3 5" xfId="1210" xr:uid="{00000000-0005-0000-0000-000011100000}"/>
    <cellStyle name="Normal 2 4 3 3 5 2" xfId="3440" xr:uid="{00000000-0005-0000-0000-000012100000}"/>
    <cellStyle name="Normal 2 4 3 3 5 2 2" xfId="7662" xr:uid="{00000000-0005-0000-0000-000013100000}"/>
    <cellStyle name="Normal 2 4 3 3 5 2 2 2" xfId="16112" xr:uid="{0611EE9D-768E-43D8-9997-96ECCAA68030}"/>
    <cellStyle name="Normal 2 4 3 3 5 2 3" xfId="11894" xr:uid="{0D86BBCD-35BC-42F2-B02C-CC14D2144B07}"/>
    <cellStyle name="Normal 2 4 3 3 5 3" xfId="5517" xr:uid="{00000000-0005-0000-0000-000014100000}"/>
    <cellStyle name="Normal 2 4 3 3 5 3 2" xfId="13967" xr:uid="{1767D5FA-F13F-401B-BE7B-79860A618344}"/>
    <cellStyle name="Normal 2 4 3 3 5 4" xfId="9749" xr:uid="{E52E98E4-206B-46B4-918C-5E22CA53DA1C}"/>
    <cellStyle name="Normal 2 4 3 3 6" xfId="1623" xr:uid="{00000000-0005-0000-0000-000015100000}"/>
    <cellStyle name="Normal 2 4 3 3 6 2" xfId="3853" xr:uid="{00000000-0005-0000-0000-000016100000}"/>
    <cellStyle name="Normal 2 4 3 3 6 2 2" xfId="8075" xr:uid="{00000000-0005-0000-0000-000017100000}"/>
    <cellStyle name="Normal 2 4 3 3 6 2 2 2" xfId="16525" xr:uid="{A7EA0A46-CF39-439B-86CF-6F38DAFB02E7}"/>
    <cellStyle name="Normal 2 4 3 3 6 2 3" xfId="12307" xr:uid="{8735FA84-787C-49F8-B15E-146E8202FA50}"/>
    <cellStyle name="Normal 2 4 3 3 6 3" xfId="5930" xr:uid="{00000000-0005-0000-0000-000018100000}"/>
    <cellStyle name="Normal 2 4 3 3 6 3 2" xfId="14380" xr:uid="{D801B8C2-F56B-41E0-95C1-0B41750956D0}"/>
    <cellStyle name="Normal 2 4 3 3 6 4" xfId="10162" xr:uid="{CD1B959C-2615-4478-AC22-A7A68B50FFAA}"/>
    <cellStyle name="Normal 2 4 3 3 7" xfId="2037" xr:uid="{00000000-0005-0000-0000-000019100000}"/>
    <cellStyle name="Normal 2 4 3 3 7 2" xfId="4266" xr:uid="{00000000-0005-0000-0000-00001A100000}"/>
    <cellStyle name="Normal 2 4 3 3 7 2 2" xfId="8488" xr:uid="{00000000-0005-0000-0000-00001B100000}"/>
    <cellStyle name="Normal 2 4 3 3 7 2 2 2" xfId="16938" xr:uid="{5C7F4D33-1CC2-4D8E-831E-CE52C617DD21}"/>
    <cellStyle name="Normal 2 4 3 3 7 2 3" xfId="12720" xr:uid="{5C69006B-7D2A-475F-B2E4-31AE41053059}"/>
    <cellStyle name="Normal 2 4 3 3 7 3" xfId="6343" xr:uid="{00000000-0005-0000-0000-00001C100000}"/>
    <cellStyle name="Normal 2 4 3 3 7 3 2" xfId="14793" xr:uid="{0DBC48F0-2193-4D24-8843-4EBA5E0A1D27}"/>
    <cellStyle name="Normal 2 4 3 3 7 4" xfId="10575" xr:uid="{E9FAA410-A921-4DF0-8824-209D6F056758}"/>
    <cellStyle name="Normal 2 4 3 3 8" xfId="2473" xr:uid="{00000000-0005-0000-0000-00001D100000}"/>
    <cellStyle name="Normal 2 4 3 3 8 2" xfId="6756" xr:uid="{00000000-0005-0000-0000-00001E100000}"/>
    <cellStyle name="Normal 2 4 3 3 8 2 2" xfId="15206" xr:uid="{7810D3F0-BB98-4328-87DC-BB340FAE1B96}"/>
    <cellStyle name="Normal 2 4 3 3 8 3" xfId="10988" xr:uid="{082F1791-048E-4D47-8446-1A5510AB5708}"/>
    <cellStyle name="Normal 2 4 3 3 9" xfId="4690" xr:uid="{00000000-0005-0000-0000-00001F100000}"/>
    <cellStyle name="Normal 2 4 3 3 9 2" xfId="13140" xr:uid="{DDB03087-A735-4F4B-8BC2-DDEDCC8E7E53}"/>
    <cellStyle name="Normal 2 4 3 4" xfId="787" xr:uid="{00000000-0005-0000-0000-000020100000}"/>
    <cellStyle name="Normal 2 4 3 4 2" xfId="3026" xr:uid="{00000000-0005-0000-0000-000021100000}"/>
    <cellStyle name="Normal 2 4 3 4 2 2" xfId="7248" xr:uid="{00000000-0005-0000-0000-000022100000}"/>
    <cellStyle name="Normal 2 4 3 4 2 2 2" xfId="15698" xr:uid="{7647CD31-3A64-4825-8C21-6126BAFBAAA7}"/>
    <cellStyle name="Normal 2 4 3 4 2 3" xfId="11480" xr:uid="{16A22B78-73B7-4500-AF2E-CF520EB51E52}"/>
    <cellStyle name="Normal 2 4 3 4 3" xfId="5103" xr:uid="{00000000-0005-0000-0000-000023100000}"/>
    <cellStyle name="Normal 2 4 3 4 3 2" xfId="13553" xr:uid="{B8027529-661E-41D9-8F0A-AB7754B72BE0}"/>
    <cellStyle name="Normal 2 4 3 4 4" xfId="9335" xr:uid="{316068B6-53DC-409B-BD30-C3F821411C85}"/>
    <cellStyle name="Normal 2 4 3 5" xfId="1209" xr:uid="{00000000-0005-0000-0000-000024100000}"/>
    <cellStyle name="Normal 2 4 3 5 2" xfId="3439" xr:uid="{00000000-0005-0000-0000-000025100000}"/>
    <cellStyle name="Normal 2 4 3 5 2 2" xfId="7661" xr:uid="{00000000-0005-0000-0000-000026100000}"/>
    <cellStyle name="Normal 2 4 3 5 2 2 2" xfId="16111" xr:uid="{A488D78F-26FF-431B-B10E-C764A932868E}"/>
    <cellStyle name="Normal 2 4 3 5 2 3" xfId="11893" xr:uid="{F0C21CEA-3B32-400E-97DD-63BCA26FE5AB}"/>
    <cellStyle name="Normal 2 4 3 5 3" xfId="5516" xr:uid="{00000000-0005-0000-0000-000027100000}"/>
    <cellStyle name="Normal 2 4 3 5 3 2" xfId="13966" xr:uid="{5482CC03-B97C-47F6-9A3B-729613BEE343}"/>
    <cellStyle name="Normal 2 4 3 5 4" xfId="9748" xr:uid="{42766507-1A36-4A64-ADF6-ECBA5F172C60}"/>
    <cellStyle name="Normal 2 4 3 6" xfId="1622" xr:uid="{00000000-0005-0000-0000-000028100000}"/>
    <cellStyle name="Normal 2 4 3 6 2" xfId="3852" xr:uid="{00000000-0005-0000-0000-000029100000}"/>
    <cellStyle name="Normal 2 4 3 6 2 2" xfId="8074" xr:uid="{00000000-0005-0000-0000-00002A100000}"/>
    <cellStyle name="Normal 2 4 3 6 2 2 2" xfId="16524" xr:uid="{9D13DB93-C109-40AC-BB32-9E8DD670D42B}"/>
    <cellStyle name="Normal 2 4 3 6 2 3" xfId="12306" xr:uid="{4DD86759-5A99-4220-A218-B41058A780A5}"/>
    <cellStyle name="Normal 2 4 3 6 3" xfId="5929" xr:uid="{00000000-0005-0000-0000-00002B100000}"/>
    <cellStyle name="Normal 2 4 3 6 3 2" xfId="14379" xr:uid="{C0417AB6-CC32-4019-BC78-E1D0F2F035CE}"/>
    <cellStyle name="Normal 2 4 3 6 4" xfId="10161" xr:uid="{167C194B-3923-43C1-BDC8-05C912B7AE0C}"/>
    <cellStyle name="Normal 2 4 3 7" xfId="2036" xr:uid="{00000000-0005-0000-0000-00002C100000}"/>
    <cellStyle name="Normal 2 4 3 7 2" xfId="4265" xr:uid="{00000000-0005-0000-0000-00002D100000}"/>
    <cellStyle name="Normal 2 4 3 7 2 2" xfId="8487" xr:uid="{00000000-0005-0000-0000-00002E100000}"/>
    <cellStyle name="Normal 2 4 3 7 2 2 2" xfId="16937" xr:uid="{14C5800B-D99C-4F2C-AB9B-E8FA748EF9E0}"/>
    <cellStyle name="Normal 2 4 3 7 2 3" xfId="12719" xr:uid="{D38B60AD-6211-4385-B3C9-5024EBEAF6B3}"/>
    <cellStyle name="Normal 2 4 3 7 3" xfId="6342" xr:uid="{00000000-0005-0000-0000-00002F100000}"/>
    <cellStyle name="Normal 2 4 3 7 3 2" xfId="14792" xr:uid="{917AC85E-19A9-4347-B95C-45DECAA9DC19}"/>
    <cellStyle name="Normal 2 4 3 7 4" xfId="10574" xr:uid="{C868408A-BC75-4289-A33A-9EA4C1238392}"/>
    <cellStyle name="Normal 2 4 3 8" xfId="2472" xr:uid="{00000000-0005-0000-0000-000030100000}"/>
    <cellStyle name="Normal 2 4 3 8 2" xfId="6755" xr:uid="{00000000-0005-0000-0000-000031100000}"/>
    <cellStyle name="Normal 2 4 3 8 2 2" xfId="15205" xr:uid="{20E2BC41-99D5-4B21-B752-78B8BE8A6945}"/>
    <cellStyle name="Normal 2 4 3 8 3" xfId="10987" xr:uid="{FBFA1F4C-E4B6-4846-949E-3B19133D47DC}"/>
    <cellStyle name="Normal 2 4 3 9" xfId="4689" xr:uid="{00000000-0005-0000-0000-000032100000}"/>
    <cellStyle name="Normal 2 4 3 9 2" xfId="13139" xr:uid="{D063D893-D6F5-4895-BB66-AC75B83327B0}"/>
    <cellStyle name="Normal 2 4 4" xfId="302" xr:uid="{00000000-0005-0000-0000-000033100000}"/>
    <cellStyle name="Normal 2 4 5" xfId="303" xr:uid="{00000000-0005-0000-0000-000034100000}"/>
    <cellStyle name="Normal 2 4 5 10" xfId="4694" xr:uid="{00000000-0005-0000-0000-000035100000}"/>
    <cellStyle name="Normal 2 4 5 10 2" xfId="13144" xr:uid="{EC963AEF-555F-4294-8EC0-F639A7F3B17E}"/>
    <cellStyle name="Normal 2 4 5 11" xfId="8926" xr:uid="{27D9BFA4-1D34-4A7F-B94B-D0880569AB9C}"/>
    <cellStyle name="Normal 2 4 5 2" xfId="304" xr:uid="{00000000-0005-0000-0000-000036100000}"/>
    <cellStyle name="Normal 2 4 5 2 10" xfId="8927" xr:uid="{DDEB8B08-4D0A-406E-B8FF-519E3FE2DDCB}"/>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2 2 2" xfId="15706" xr:uid="{B694D588-39D1-4D0E-96DC-1051754FD1F4}"/>
    <cellStyle name="Normal 2 4 5 2 2 2 2 2 3" xfId="11488" xr:uid="{F045780F-3EB4-44A7-AF27-C499010D4BF2}"/>
    <cellStyle name="Normal 2 4 5 2 2 2 2 3" xfId="5111" xr:uid="{00000000-0005-0000-0000-00003C100000}"/>
    <cellStyle name="Normal 2 4 5 2 2 2 2 3 2" xfId="13561" xr:uid="{65F4B279-C16A-4EC1-BFD0-537598E436BE}"/>
    <cellStyle name="Normal 2 4 5 2 2 2 2 4" xfId="9343" xr:uid="{1F33A3B0-0EE7-4DE0-A5A3-56C15285CA63}"/>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2 2 2" xfId="16119" xr:uid="{1DBB0528-9093-4D51-8BA4-956F19AF399E}"/>
    <cellStyle name="Normal 2 4 5 2 2 2 3 2 3" xfId="11901" xr:uid="{856EA9AC-6F28-409C-A540-C07E6F73E3BC}"/>
    <cellStyle name="Normal 2 4 5 2 2 2 3 3" xfId="5524" xr:uid="{00000000-0005-0000-0000-000040100000}"/>
    <cellStyle name="Normal 2 4 5 2 2 2 3 3 2" xfId="13974" xr:uid="{6FC03062-472E-422A-A65D-B7CDFE6E05C8}"/>
    <cellStyle name="Normal 2 4 5 2 2 2 3 4" xfId="9756" xr:uid="{ED911609-2B7B-49C3-A162-EE946FC4D956}"/>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2 2 2" xfId="16532" xr:uid="{B7B9C98A-1383-41F0-859E-AB05B9D7248D}"/>
    <cellStyle name="Normal 2 4 5 2 2 2 4 2 3" xfId="12314" xr:uid="{75D85175-0BFD-45DC-B07F-ECF7C2487BBE}"/>
    <cellStyle name="Normal 2 4 5 2 2 2 4 3" xfId="5937" xr:uid="{00000000-0005-0000-0000-000044100000}"/>
    <cellStyle name="Normal 2 4 5 2 2 2 4 3 2" xfId="14387" xr:uid="{D89DE6FD-488D-43B6-97E5-89C86908FF4A}"/>
    <cellStyle name="Normal 2 4 5 2 2 2 4 4" xfId="10169" xr:uid="{5CBD0B55-2DBB-43C5-91C4-EC0AF38E8BF6}"/>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2 2 2" xfId="16945" xr:uid="{39B366B4-DD20-4B5F-A671-2F2AD98FE842}"/>
    <cellStyle name="Normal 2 4 5 2 2 2 5 2 3" xfId="12727" xr:uid="{D656CE14-1A41-489F-8308-5BC208DE9EFE}"/>
    <cellStyle name="Normal 2 4 5 2 2 2 5 3" xfId="6350" xr:uid="{00000000-0005-0000-0000-000048100000}"/>
    <cellStyle name="Normal 2 4 5 2 2 2 5 3 2" xfId="14800" xr:uid="{2E2D9A80-A52C-4CED-8C8C-2AEA8A0F76EB}"/>
    <cellStyle name="Normal 2 4 5 2 2 2 5 4" xfId="10582" xr:uid="{59DBC52D-7C5D-4D08-8B4B-DC782F62E10D}"/>
    <cellStyle name="Normal 2 4 5 2 2 2 6" xfId="2480" xr:uid="{00000000-0005-0000-0000-000049100000}"/>
    <cellStyle name="Normal 2 4 5 2 2 2 6 2" xfId="6763" xr:uid="{00000000-0005-0000-0000-00004A100000}"/>
    <cellStyle name="Normal 2 4 5 2 2 2 6 2 2" xfId="15213" xr:uid="{31602B28-A4B0-4C0A-83CD-AD80E38DF9B3}"/>
    <cellStyle name="Normal 2 4 5 2 2 2 6 3" xfId="10995" xr:uid="{11DB9E8F-81F4-4691-9D54-925A67B40B10}"/>
    <cellStyle name="Normal 2 4 5 2 2 2 7" xfId="4697" xr:uid="{00000000-0005-0000-0000-00004B100000}"/>
    <cellStyle name="Normal 2 4 5 2 2 2 7 2" xfId="13147" xr:uid="{1145024A-6B8F-4D4C-92D2-00E439384C9C}"/>
    <cellStyle name="Normal 2 4 5 2 2 2 8" xfId="8929" xr:uid="{33AD152A-646A-43BD-9D56-7F888A1D3693}"/>
    <cellStyle name="Normal 2 4 5 2 2 3" xfId="794" xr:uid="{00000000-0005-0000-0000-00004C100000}"/>
    <cellStyle name="Normal 2 4 5 2 2 3 2" xfId="3033" xr:uid="{00000000-0005-0000-0000-00004D100000}"/>
    <cellStyle name="Normal 2 4 5 2 2 3 2 2" xfId="7255" xr:uid="{00000000-0005-0000-0000-00004E100000}"/>
    <cellStyle name="Normal 2 4 5 2 2 3 2 2 2" xfId="15705" xr:uid="{00E5B2C2-5681-423B-BA5C-7E92EDC901CF}"/>
    <cellStyle name="Normal 2 4 5 2 2 3 2 3" xfId="11487" xr:uid="{1B84D641-1394-4FA7-81F3-9E450E64600D}"/>
    <cellStyle name="Normal 2 4 5 2 2 3 3" xfId="5110" xr:uid="{00000000-0005-0000-0000-00004F100000}"/>
    <cellStyle name="Normal 2 4 5 2 2 3 3 2" xfId="13560" xr:uid="{1AD84E82-EB3B-4EFA-BB17-0B82B5CE94B8}"/>
    <cellStyle name="Normal 2 4 5 2 2 3 4" xfId="9342" xr:uid="{051682A3-6A0C-4713-A4CB-A2A828162EBD}"/>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2 2 2" xfId="16118" xr:uid="{309DA2BD-277D-4979-9FD4-7B7D9C13B7FB}"/>
    <cellStyle name="Normal 2 4 5 2 2 4 2 3" xfId="11900" xr:uid="{BA1E3835-9E53-4388-B74A-EB3C500886A1}"/>
    <cellStyle name="Normal 2 4 5 2 2 4 3" xfId="5523" xr:uid="{00000000-0005-0000-0000-000053100000}"/>
    <cellStyle name="Normal 2 4 5 2 2 4 3 2" xfId="13973" xr:uid="{07E10CDF-6AD5-430D-8E70-F286AA78274E}"/>
    <cellStyle name="Normal 2 4 5 2 2 4 4" xfId="9755" xr:uid="{E9E99E4C-F229-4426-AC4E-733E0A507A9F}"/>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2 2 2" xfId="16531" xr:uid="{F0DC943A-BE0C-4B81-A579-20E917B8A060}"/>
    <cellStyle name="Normal 2 4 5 2 2 5 2 3" xfId="12313" xr:uid="{75EF3BD9-1449-41D7-A959-1B44822509B8}"/>
    <cellStyle name="Normal 2 4 5 2 2 5 3" xfId="5936" xr:uid="{00000000-0005-0000-0000-000057100000}"/>
    <cellStyle name="Normal 2 4 5 2 2 5 3 2" xfId="14386" xr:uid="{5E633BA2-D713-46A2-9E61-764653DD396A}"/>
    <cellStyle name="Normal 2 4 5 2 2 5 4" xfId="10168" xr:uid="{23FFF5D6-9483-439A-BFA3-FA3B3EE510B8}"/>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2 2 2" xfId="16944" xr:uid="{C53A3405-537F-4708-8BB3-111800BEB22C}"/>
    <cellStyle name="Normal 2 4 5 2 2 6 2 3" xfId="12726" xr:uid="{2A7C1180-46C8-42B3-A10C-4DC73EAB5C06}"/>
    <cellStyle name="Normal 2 4 5 2 2 6 3" xfId="6349" xr:uid="{00000000-0005-0000-0000-00005B100000}"/>
    <cellStyle name="Normal 2 4 5 2 2 6 3 2" xfId="14799" xr:uid="{F0576E2A-5B7B-43F5-B8B9-2951CC747779}"/>
    <cellStyle name="Normal 2 4 5 2 2 6 4" xfId="10581" xr:uid="{5F5CB958-6566-4AB5-B553-ED70C4246473}"/>
    <cellStyle name="Normal 2 4 5 2 2 7" xfId="2479" xr:uid="{00000000-0005-0000-0000-00005C100000}"/>
    <cellStyle name="Normal 2 4 5 2 2 7 2" xfId="6762" xr:uid="{00000000-0005-0000-0000-00005D100000}"/>
    <cellStyle name="Normal 2 4 5 2 2 7 2 2" xfId="15212" xr:uid="{4D19161D-6E48-47EE-9E0E-8806A38C8348}"/>
    <cellStyle name="Normal 2 4 5 2 2 7 3" xfId="10994" xr:uid="{8EAB05D6-181A-4BEA-8194-F80BD57EE973}"/>
    <cellStyle name="Normal 2 4 5 2 2 8" xfId="4696" xr:uid="{00000000-0005-0000-0000-00005E100000}"/>
    <cellStyle name="Normal 2 4 5 2 2 8 2" xfId="13146" xr:uid="{2706B557-0D49-407E-88F0-CD847FBEDD23}"/>
    <cellStyle name="Normal 2 4 5 2 2 9" xfId="8928" xr:uid="{4803F74D-CB4E-4355-B1CE-BEF0B1060A18}"/>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2 2 2" xfId="15707" xr:uid="{38CFFBC0-4BD1-4C17-ADDC-916D574D391C}"/>
    <cellStyle name="Normal 2 4 5 2 3 2 2 3" xfId="11489" xr:uid="{79643D09-B8D4-4267-9469-070E22E182A0}"/>
    <cellStyle name="Normal 2 4 5 2 3 2 3" xfId="5112" xr:uid="{00000000-0005-0000-0000-000063100000}"/>
    <cellStyle name="Normal 2 4 5 2 3 2 3 2" xfId="13562" xr:uid="{0D7737AA-F664-468F-A37F-5A534966123B}"/>
    <cellStyle name="Normal 2 4 5 2 3 2 4" xfId="9344" xr:uid="{0AD7B1CC-B06F-43AD-AC76-D2024A321D66}"/>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2 2 2" xfId="16120" xr:uid="{F82D307D-C071-4DDD-8332-3241F88CB298}"/>
    <cellStyle name="Normal 2 4 5 2 3 3 2 3" xfId="11902" xr:uid="{1B6F3C64-C269-4F16-9869-62670F8ACD28}"/>
    <cellStyle name="Normal 2 4 5 2 3 3 3" xfId="5525" xr:uid="{00000000-0005-0000-0000-000067100000}"/>
    <cellStyle name="Normal 2 4 5 2 3 3 3 2" xfId="13975" xr:uid="{06298680-0F60-4DE3-B136-3AA2CFFEB444}"/>
    <cellStyle name="Normal 2 4 5 2 3 3 4" xfId="9757" xr:uid="{944179E5-D3AB-4214-B477-7AE90C8B50FE}"/>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2 2 2" xfId="16533" xr:uid="{A6D59EA8-A9D2-49EF-B6E3-D82FA83F0C39}"/>
    <cellStyle name="Normal 2 4 5 2 3 4 2 3" xfId="12315" xr:uid="{AFF5B71B-E3F8-4BA2-B01D-5A0C59953A90}"/>
    <cellStyle name="Normal 2 4 5 2 3 4 3" xfId="5938" xr:uid="{00000000-0005-0000-0000-00006B100000}"/>
    <cellStyle name="Normal 2 4 5 2 3 4 3 2" xfId="14388" xr:uid="{FD4AC354-8248-4447-82F0-A3775CA69C7A}"/>
    <cellStyle name="Normal 2 4 5 2 3 4 4" xfId="10170" xr:uid="{51098DA7-76FA-4E59-A9E9-4F8B35D6BA9F}"/>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2 2 2" xfId="16946" xr:uid="{3B9D2B5B-D80C-417B-8EDE-67C2792FE9C3}"/>
    <cellStyle name="Normal 2 4 5 2 3 5 2 3" xfId="12728" xr:uid="{A16F95B8-ADD8-4904-B1CC-07973A0FA667}"/>
    <cellStyle name="Normal 2 4 5 2 3 5 3" xfId="6351" xr:uid="{00000000-0005-0000-0000-00006F100000}"/>
    <cellStyle name="Normal 2 4 5 2 3 5 3 2" xfId="14801" xr:uid="{CCA71728-C5E3-47A9-AA8C-0D3A1EB1F8C8}"/>
    <cellStyle name="Normal 2 4 5 2 3 5 4" xfId="10583" xr:uid="{8E77C3C6-2A3C-473F-9ED8-6646175D9207}"/>
    <cellStyle name="Normal 2 4 5 2 3 6" xfId="2481" xr:uid="{00000000-0005-0000-0000-000070100000}"/>
    <cellStyle name="Normal 2 4 5 2 3 6 2" xfId="6764" xr:uid="{00000000-0005-0000-0000-000071100000}"/>
    <cellStyle name="Normal 2 4 5 2 3 6 2 2" xfId="15214" xr:uid="{82A122A5-ED7C-4108-9B82-16B890A416E2}"/>
    <cellStyle name="Normal 2 4 5 2 3 6 3" xfId="10996" xr:uid="{ED1CD8CB-F5AD-49CC-A451-C2FD693CA26B}"/>
    <cellStyle name="Normal 2 4 5 2 3 7" xfId="4698" xr:uid="{00000000-0005-0000-0000-000072100000}"/>
    <cellStyle name="Normal 2 4 5 2 3 7 2" xfId="13148" xr:uid="{61BEC695-C4EE-42CD-8416-9AFCF6BC4D2D}"/>
    <cellStyle name="Normal 2 4 5 2 3 8" xfId="8930" xr:uid="{84C92BB3-0AA7-4AE3-9F2E-70266BE7193C}"/>
    <cellStyle name="Normal 2 4 5 2 4" xfId="793" xr:uid="{00000000-0005-0000-0000-000073100000}"/>
    <cellStyle name="Normal 2 4 5 2 4 2" xfId="3032" xr:uid="{00000000-0005-0000-0000-000074100000}"/>
    <cellStyle name="Normal 2 4 5 2 4 2 2" xfId="7254" xr:uid="{00000000-0005-0000-0000-000075100000}"/>
    <cellStyle name="Normal 2 4 5 2 4 2 2 2" xfId="15704" xr:uid="{1C885CFB-0FE7-4591-94D4-7333AA2D279F}"/>
    <cellStyle name="Normal 2 4 5 2 4 2 3" xfId="11486" xr:uid="{909251C2-1352-46CF-9A49-D112D1513626}"/>
    <cellStyle name="Normal 2 4 5 2 4 3" xfId="5109" xr:uid="{00000000-0005-0000-0000-000076100000}"/>
    <cellStyle name="Normal 2 4 5 2 4 3 2" xfId="13559" xr:uid="{8803B49C-FF18-4BFA-8423-A45380F6DC8D}"/>
    <cellStyle name="Normal 2 4 5 2 4 4" xfId="9341" xr:uid="{CE5B549F-A422-43F2-A53D-D87EBA59CADF}"/>
    <cellStyle name="Normal 2 4 5 2 5" xfId="1215" xr:uid="{00000000-0005-0000-0000-000077100000}"/>
    <cellStyle name="Normal 2 4 5 2 5 2" xfId="3445" xr:uid="{00000000-0005-0000-0000-000078100000}"/>
    <cellStyle name="Normal 2 4 5 2 5 2 2" xfId="7667" xr:uid="{00000000-0005-0000-0000-000079100000}"/>
    <cellStyle name="Normal 2 4 5 2 5 2 2 2" xfId="16117" xr:uid="{4D421ADE-429E-431A-BD4D-D8BEB4DF7C7F}"/>
    <cellStyle name="Normal 2 4 5 2 5 2 3" xfId="11899" xr:uid="{0C96DBE6-BDCD-455C-BD64-E327C47500B8}"/>
    <cellStyle name="Normal 2 4 5 2 5 3" xfId="5522" xr:uid="{00000000-0005-0000-0000-00007A100000}"/>
    <cellStyle name="Normal 2 4 5 2 5 3 2" xfId="13972" xr:uid="{B97B4EA1-DD66-4AEF-89E3-F683DD5CA80A}"/>
    <cellStyle name="Normal 2 4 5 2 5 4" xfId="9754" xr:uid="{9419763D-732F-480A-85DF-317F7DE7CC3C}"/>
    <cellStyle name="Normal 2 4 5 2 6" xfId="1628" xr:uid="{00000000-0005-0000-0000-00007B100000}"/>
    <cellStyle name="Normal 2 4 5 2 6 2" xfId="3858" xr:uid="{00000000-0005-0000-0000-00007C100000}"/>
    <cellStyle name="Normal 2 4 5 2 6 2 2" xfId="8080" xr:uid="{00000000-0005-0000-0000-00007D100000}"/>
    <cellStyle name="Normal 2 4 5 2 6 2 2 2" xfId="16530" xr:uid="{4E698618-5396-4A4A-94BC-92A7518B4383}"/>
    <cellStyle name="Normal 2 4 5 2 6 2 3" xfId="12312" xr:uid="{B3ABEC1D-2D4B-4FB0-A0E1-AC48ED21C295}"/>
    <cellStyle name="Normal 2 4 5 2 6 3" xfId="5935" xr:uid="{00000000-0005-0000-0000-00007E100000}"/>
    <cellStyle name="Normal 2 4 5 2 6 3 2" xfId="14385" xr:uid="{D561BB95-51CD-4167-937D-27D71BCF49F2}"/>
    <cellStyle name="Normal 2 4 5 2 6 4" xfId="10167" xr:uid="{12549E1C-3699-4A98-A3FC-2AACFD16F62C}"/>
    <cellStyle name="Normal 2 4 5 2 7" xfId="2042" xr:uid="{00000000-0005-0000-0000-00007F100000}"/>
    <cellStyle name="Normal 2 4 5 2 7 2" xfId="4271" xr:uid="{00000000-0005-0000-0000-000080100000}"/>
    <cellStyle name="Normal 2 4 5 2 7 2 2" xfId="8493" xr:uid="{00000000-0005-0000-0000-000081100000}"/>
    <cellStyle name="Normal 2 4 5 2 7 2 2 2" xfId="16943" xr:uid="{32B9E78A-3C6B-4679-A8AA-3F7536F5A166}"/>
    <cellStyle name="Normal 2 4 5 2 7 2 3" xfId="12725" xr:uid="{5C41D0E0-6345-4189-BF9E-E76EFD19EC84}"/>
    <cellStyle name="Normal 2 4 5 2 7 3" xfId="6348" xr:uid="{00000000-0005-0000-0000-000082100000}"/>
    <cellStyle name="Normal 2 4 5 2 7 3 2" xfId="14798" xr:uid="{74D74A6F-BC07-490A-B0DD-A7CEC40567FD}"/>
    <cellStyle name="Normal 2 4 5 2 7 4" xfId="10580" xr:uid="{436395CE-B127-415D-98DA-54C9FB84E684}"/>
    <cellStyle name="Normal 2 4 5 2 8" xfId="2478" xr:uid="{00000000-0005-0000-0000-000083100000}"/>
    <cellStyle name="Normal 2 4 5 2 8 2" xfId="6761" xr:uid="{00000000-0005-0000-0000-000084100000}"/>
    <cellStyle name="Normal 2 4 5 2 8 2 2" xfId="15211" xr:uid="{C7FE5D2C-3B1F-494F-8712-1384A2B54D79}"/>
    <cellStyle name="Normal 2 4 5 2 8 3" xfId="10993" xr:uid="{CAFE6F88-A2F4-490C-A6B4-0ECA58D7B4AD}"/>
    <cellStyle name="Normal 2 4 5 2 9" xfId="4695" xr:uid="{00000000-0005-0000-0000-000085100000}"/>
    <cellStyle name="Normal 2 4 5 2 9 2" xfId="13145" xr:uid="{9CFD57D4-135B-4CAD-9555-ED322F4C5CBA}"/>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2 2 2" xfId="15709" xr:uid="{15F5CE01-9649-49D7-995E-AB78DE2CAF29}"/>
    <cellStyle name="Normal 2 4 5 3 2 2 2 3" xfId="11491" xr:uid="{66428585-467C-453B-833E-4C761C7A3692}"/>
    <cellStyle name="Normal 2 4 5 3 2 2 3" xfId="5114" xr:uid="{00000000-0005-0000-0000-00008B100000}"/>
    <cellStyle name="Normal 2 4 5 3 2 2 3 2" xfId="13564" xr:uid="{0D8E6702-A666-4311-A80D-818B3CD7FD9A}"/>
    <cellStyle name="Normal 2 4 5 3 2 2 4" xfId="9346" xr:uid="{349E060F-7F48-4436-8F23-CCEE036D78FC}"/>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2 2 2" xfId="16122" xr:uid="{603F5074-05A7-456E-B14D-07558952BFBD}"/>
    <cellStyle name="Normal 2 4 5 3 2 3 2 3" xfId="11904" xr:uid="{3E7C58D4-B6D4-4CF0-A1DB-53C7D11ED637}"/>
    <cellStyle name="Normal 2 4 5 3 2 3 3" xfId="5527" xr:uid="{00000000-0005-0000-0000-00008F100000}"/>
    <cellStyle name="Normal 2 4 5 3 2 3 3 2" xfId="13977" xr:uid="{58F16CDD-7F49-4A49-93F7-B9C65E9B30CD}"/>
    <cellStyle name="Normal 2 4 5 3 2 3 4" xfId="9759" xr:uid="{D782F26A-C063-4507-91CA-FCF4F22C336D}"/>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2 2 2" xfId="16535" xr:uid="{8D563149-4172-4EF0-BF3C-DF10297D43FB}"/>
    <cellStyle name="Normal 2 4 5 3 2 4 2 3" xfId="12317" xr:uid="{ECAFD648-D3E0-47E0-9CB0-B6CC41F0D954}"/>
    <cellStyle name="Normal 2 4 5 3 2 4 3" xfId="5940" xr:uid="{00000000-0005-0000-0000-000093100000}"/>
    <cellStyle name="Normal 2 4 5 3 2 4 3 2" xfId="14390" xr:uid="{CFF0D4A6-8288-4E72-BE8F-903945DE8189}"/>
    <cellStyle name="Normal 2 4 5 3 2 4 4" xfId="10172" xr:uid="{166ED2A1-E756-4560-AA59-1A887B25CE9B}"/>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2 2 2" xfId="16948" xr:uid="{9181C16C-6F6C-4BA5-A7E4-AB5DF4D8411F}"/>
    <cellStyle name="Normal 2 4 5 3 2 5 2 3" xfId="12730" xr:uid="{2FE03A4A-A298-4885-A57D-BC6D18721FB2}"/>
    <cellStyle name="Normal 2 4 5 3 2 5 3" xfId="6353" xr:uid="{00000000-0005-0000-0000-000097100000}"/>
    <cellStyle name="Normal 2 4 5 3 2 5 3 2" xfId="14803" xr:uid="{2F70EFCD-B3EA-42CC-BED2-7CBA9DCA2929}"/>
    <cellStyle name="Normal 2 4 5 3 2 5 4" xfId="10585" xr:uid="{F995230F-3C21-4719-837F-985ED98E7EF9}"/>
    <cellStyle name="Normal 2 4 5 3 2 6" xfId="2483" xr:uid="{00000000-0005-0000-0000-000098100000}"/>
    <cellStyle name="Normal 2 4 5 3 2 6 2" xfId="6766" xr:uid="{00000000-0005-0000-0000-000099100000}"/>
    <cellStyle name="Normal 2 4 5 3 2 6 2 2" xfId="15216" xr:uid="{05525C63-D947-4664-9C61-72A94E53A077}"/>
    <cellStyle name="Normal 2 4 5 3 2 6 3" xfId="10998" xr:uid="{A8F78033-4F52-4070-926A-92F37701DA99}"/>
    <cellStyle name="Normal 2 4 5 3 2 7" xfId="4700" xr:uid="{00000000-0005-0000-0000-00009A100000}"/>
    <cellStyle name="Normal 2 4 5 3 2 7 2" xfId="13150" xr:uid="{DDB38565-E5F8-4513-A5D8-9BA6A015E623}"/>
    <cellStyle name="Normal 2 4 5 3 2 8" xfId="8932" xr:uid="{47FE027A-3E72-4461-831E-07054A9A3B9C}"/>
    <cellStyle name="Normal 2 4 5 3 3" xfId="797" xr:uid="{00000000-0005-0000-0000-00009B100000}"/>
    <cellStyle name="Normal 2 4 5 3 3 2" xfId="3036" xr:uid="{00000000-0005-0000-0000-00009C100000}"/>
    <cellStyle name="Normal 2 4 5 3 3 2 2" xfId="7258" xr:uid="{00000000-0005-0000-0000-00009D100000}"/>
    <cellStyle name="Normal 2 4 5 3 3 2 2 2" xfId="15708" xr:uid="{484654FE-622E-4E63-ABD7-9E4EB14E815C}"/>
    <cellStyle name="Normal 2 4 5 3 3 2 3" xfId="11490" xr:uid="{60986241-AA80-4F64-966C-EBB4511FEE58}"/>
    <cellStyle name="Normal 2 4 5 3 3 3" xfId="5113" xr:uid="{00000000-0005-0000-0000-00009E100000}"/>
    <cellStyle name="Normal 2 4 5 3 3 3 2" xfId="13563" xr:uid="{9D12FEBE-86EE-48BB-B611-187018B8F327}"/>
    <cellStyle name="Normal 2 4 5 3 3 4" xfId="9345" xr:uid="{00215ECB-7AFF-469F-A797-DC1F48564C72}"/>
    <cellStyle name="Normal 2 4 5 3 4" xfId="1219" xr:uid="{00000000-0005-0000-0000-00009F100000}"/>
    <cellStyle name="Normal 2 4 5 3 4 2" xfId="3449" xr:uid="{00000000-0005-0000-0000-0000A0100000}"/>
    <cellStyle name="Normal 2 4 5 3 4 2 2" xfId="7671" xr:uid="{00000000-0005-0000-0000-0000A1100000}"/>
    <cellStyle name="Normal 2 4 5 3 4 2 2 2" xfId="16121" xr:uid="{05712A11-6AF8-49CF-940D-856DA4A528A2}"/>
    <cellStyle name="Normal 2 4 5 3 4 2 3" xfId="11903" xr:uid="{CC9B883A-3444-47C1-BAEF-E58E77DA662C}"/>
    <cellStyle name="Normal 2 4 5 3 4 3" xfId="5526" xr:uid="{00000000-0005-0000-0000-0000A2100000}"/>
    <cellStyle name="Normal 2 4 5 3 4 3 2" xfId="13976" xr:uid="{972AECBF-5C24-426B-B316-3380DBA87748}"/>
    <cellStyle name="Normal 2 4 5 3 4 4" xfId="9758" xr:uid="{56BB2B23-FC06-4447-9AF1-105C02907034}"/>
    <cellStyle name="Normal 2 4 5 3 5" xfId="1632" xr:uid="{00000000-0005-0000-0000-0000A3100000}"/>
    <cellStyle name="Normal 2 4 5 3 5 2" xfId="3862" xr:uid="{00000000-0005-0000-0000-0000A4100000}"/>
    <cellStyle name="Normal 2 4 5 3 5 2 2" xfId="8084" xr:uid="{00000000-0005-0000-0000-0000A5100000}"/>
    <cellStyle name="Normal 2 4 5 3 5 2 2 2" xfId="16534" xr:uid="{750E9C78-BD3B-4FBA-ADFF-87ACEEEDF780}"/>
    <cellStyle name="Normal 2 4 5 3 5 2 3" xfId="12316" xr:uid="{B9967827-413F-4188-9B33-195D25D35DB1}"/>
    <cellStyle name="Normal 2 4 5 3 5 3" xfId="5939" xr:uid="{00000000-0005-0000-0000-0000A6100000}"/>
    <cellStyle name="Normal 2 4 5 3 5 3 2" xfId="14389" xr:uid="{32BFBF5E-3500-48CE-8C28-1F27033FB014}"/>
    <cellStyle name="Normal 2 4 5 3 5 4" xfId="10171" xr:uid="{F5F021B6-1BE4-4251-8CB1-6429B9A1ED6B}"/>
    <cellStyle name="Normal 2 4 5 3 6" xfId="2046" xr:uid="{00000000-0005-0000-0000-0000A7100000}"/>
    <cellStyle name="Normal 2 4 5 3 6 2" xfId="4275" xr:uid="{00000000-0005-0000-0000-0000A8100000}"/>
    <cellStyle name="Normal 2 4 5 3 6 2 2" xfId="8497" xr:uid="{00000000-0005-0000-0000-0000A9100000}"/>
    <cellStyle name="Normal 2 4 5 3 6 2 2 2" xfId="16947" xr:uid="{F2DD944A-5F09-4B4D-AB2E-DC75EA8B0C53}"/>
    <cellStyle name="Normal 2 4 5 3 6 2 3" xfId="12729" xr:uid="{C1C1FD4D-A0A3-4C69-92FB-F3DD3430D4A4}"/>
    <cellStyle name="Normal 2 4 5 3 6 3" xfId="6352" xr:uid="{00000000-0005-0000-0000-0000AA100000}"/>
    <cellStyle name="Normal 2 4 5 3 6 3 2" xfId="14802" xr:uid="{34FFDFFB-34D3-487F-9E62-F17F2575AC1F}"/>
    <cellStyle name="Normal 2 4 5 3 6 4" xfId="10584" xr:uid="{B69A068A-F6C6-41A4-BEC9-A40C01EBFB7F}"/>
    <cellStyle name="Normal 2 4 5 3 7" xfId="2482" xr:uid="{00000000-0005-0000-0000-0000AB100000}"/>
    <cellStyle name="Normal 2 4 5 3 7 2" xfId="6765" xr:uid="{00000000-0005-0000-0000-0000AC100000}"/>
    <cellStyle name="Normal 2 4 5 3 7 2 2" xfId="15215" xr:uid="{E2EEC2BF-7775-49FE-87C2-DA5A2350943C}"/>
    <cellStyle name="Normal 2 4 5 3 7 3" xfId="10997" xr:uid="{13D8432C-3F46-4862-A35D-0F33E1BCBE66}"/>
    <cellStyle name="Normal 2 4 5 3 8" xfId="4699" xr:uid="{00000000-0005-0000-0000-0000AD100000}"/>
    <cellStyle name="Normal 2 4 5 3 8 2" xfId="13149" xr:uid="{5EA14B55-7603-4B19-8E9F-2235E88AFA89}"/>
    <cellStyle name="Normal 2 4 5 3 9" xfId="8931" xr:uid="{59F34B73-3E25-4295-92C0-13D5C9B6E402}"/>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2 2 2" xfId="15710" xr:uid="{334A4122-3C28-459B-A202-2AFB03DC449E}"/>
    <cellStyle name="Normal 2 4 5 4 2 2 3" xfId="11492" xr:uid="{674FE540-B43B-4B66-9D24-1848853BD8AB}"/>
    <cellStyle name="Normal 2 4 5 4 2 3" xfId="5115" xr:uid="{00000000-0005-0000-0000-0000B2100000}"/>
    <cellStyle name="Normal 2 4 5 4 2 3 2" xfId="13565" xr:uid="{E79ABF74-1115-4B45-9E19-7C55A2699145}"/>
    <cellStyle name="Normal 2 4 5 4 2 4" xfId="9347" xr:uid="{9E121D53-F446-4DE0-BE22-21DD199C6FA0}"/>
    <cellStyle name="Normal 2 4 5 4 3" xfId="1221" xr:uid="{00000000-0005-0000-0000-0000B3100000}"/>
    <cellStyle name="Normal 2 4 5 4 3 2" xfId="3451" xr:uid="{00000000-0005-0000-0000-0000B4100000}"/>
    <cellStyle name="Normal 2 4 5 4 3 2 2" xfId="7673" xr:uid="{00000000-0005-0000-0000-0000B5100000}"/>
    <cellStyle name="Normal 2 4 5 4 3 2 2 2" xfId="16123" xr:uid="{614DAE56-F219-4607-B21E-0BA26C2CCA87}"/>
    <cellStyle name="Normal 2 4 5 4 3 2 3" xfId="11905" xr:uid="{C707831B-50B4-4979-8389-ED50C45651E3}"/>
    <cellStyle name="Normal 2 4 5 4 3 3" xfId="5528" xr:uid="{00000000-0005-0000-0000-0000B6100000}"/>
    <cellStyle name="Normal 2 4 5 4 3 3 2" xfId="13978" xr:uid="{0528D2BC-8121-44AF-9FF7-E6582E91585E}"/>
    <cellStyle name="Normal 2 4 5 4 3 4" xfId="9760" xr:uid="{00028484-5AC6-4A6B-BD56-F027257E7BF6}"/>
    <cellStyle name="Normal 2 4 5 4 4" xfId="1634" xr:uid="{00000000-0005-0000-0000-0000B7100000}"/>
    <cellStyle name="Normal 2 4 5 4 4 2" xfId="3864" xr:uid="{00000000-0005-0000-0000-0000B8100000}"/>
    <cellStyle name="Normal 2 4 5 4 4 2 2" xfId="8086" xr:uid="{00000000-0005-0000-0000-0000B9100000}"/>
    <cellStyle name="Normal 2 4 5 4 4 2 2 2" xfId="16536" xr:uid="{853F48E2-FD72-4BDB-81E0-8D383A5E9437}"/>
    <cellStyle name="Normal 2 4 5 4 4 2 3" xfId="12318" xr:uid="{BD153108-84F3-47FA-8C15-92BFBE2DA45D}"/>
    <cellStyle name="Normal 2 4 5 4 4 3" xfId="5941" xr:uid="{00000000-0005-0000-0000-0000BA100000}"/>
    <cellStyle name="Normal 2 4 5 4 4 3 2" xfId="14391" xr:uid="{2ADD1443-70A0-4D12-A249-908B080AE609}"/>
    <cellStyle name="Normal 2 4 5 4 4 4" xfId="10173" xr:uid="{EB606D2A-F771-449F-9EBF-8F4DAB2D3A0A}"/>
    <cellStyle name="Normal 2 4 5 4 5" xfId="2048" xr:uid="{00000000-0005-0000-0000-0000BB100000}"/>
    <cellStyle name="Normal 2 4 5 4 5 2" xfId="4277" xr:uid="{00000000-0005-0000-0000-0000BC100000}"/>
    <cellStyle name="Normal 2 4 5 4 5 2 2" xfId="8499" xr:uid="{00000000-0005-0000-0000-0000BD100000}"/>
    <cellStyle name="Normal 2 4 5 4 5 2 2 2" xfId="16949" xr:uid="{6E12394D-590D-46CD-8C65-A41397840413}"/>
    <cellStyle name="Normal 2 4 5 4 5 2 3" xfId="12731" xr:uid="{89C199E5-0199-47DE-AAF1-F0A0AEDAFB29}"/>
    <cellStyle name="Normal 2 4 5 4 5 3" xfId="6354" xr:uid="{00000000-0005-0000-0000-0000BE100000}"/>
    <cellStyle name="Normal 2 4 5 4 5 3 2" xfId="14804" xr:uid="{40918CF5-C792-412C-98B0-B9CB7AA214FF}"/>
    <cellStyle name="Normal 2 4 5 4 5 4" xfId="10586" xr:uid="{EC3C5BFC-A6B7-4691-9762-8DB022027F16}"/>
    <cellStyle name="Normal 2 4 5 4 6" xfId="2484" xr:uid="{00000000-0005-0000-0000-0000BF100000}"/>
    <cellStyle name="Normal 2 4 5 4 6 2" xfId="6767" xr:uid="{00000000-0005-0000-0000-0000C0100000}"/>
    <cellStyle name="Normal 2 4 5 4 6 2 2" xfId="15217" xr:uid="{D1DAA156-BA56-4642-ACFF-F753EDE45EB3}"/>
    <cellStyle name="Normal 2 4 5 4 6 3" xfId="10999" xr:uid="{435010A2-287F-4258-A6D6-20F9921DF611}"/>
    <cellStyle name="Normal 2 4 5 4 7" xfId="4701" xr:uid="{00000000-0005-0000-0000-0000C1100000}"/>
    <cellStyle name="Normal 2 4 5 4 7 2" xfId="13151" xr:uid="{0302CB16-AE7D-4BBE-AA17-48DE3C3EED36}"/>
    <cellStyle name="Normal 2 4 5 4 8" xfId="8933" xr:uid="{051EF245-8A9F-40BB-A3E1-D82446A43DD2}"/>
    <cellStyle name="Normal 2 4 5 5" xfId="792" xr:uid="{00000000-0005-0000-0000-0000C2100000}"/>
    <cellStyle name="Normal 2 4 5 5 2" xfId="3031" xr:uid="{00000000-0005-0000-0000-0000C3100000}"/>
    <cellStyle name="Normal 2 4 5 5 2 2" xfId="7253" xr:uid="{00000000-0005-0000-0000-0000C4100000}"/>
    <cellStyle name="Normal 2 4 5 5 2 2 2" xfId="15703" xr:uid="{20D842F3-3B5B-46DC-BCE9-2565439B3B3B}"/>
    <cellStyle name="Normal 2 4 5 5 2 3" xfId="11485" xr:uid="{6075034F-5642-4E00-90B0-D2AC3ABC1292}"/>
    <cellStyle name="Normal 2 4 5 5 3" xfId="5108" xr:uid="{00000000-0005-0000-0000-0000C5100000}"/>
    <cellStyle name="Normal 2 4 5 5 3 2" xfId="13558" xr:uid="{D6F872D7-EF1D-4B75-B0E4-EEF478FD0A6A}"/>
    <cellStyle name="Normal 2 4 5 5 4" xfId="9340" xr:uid="{E5EBB644-CAA5-4DBD-A82C-BF14A3321CAE}"/>
    <cellStyle name="Normal 2 4 5 6" xfId="1214" xr:uid="{00000000-0005-0000-0000-0000C6100000}"/>
    <cellStyle name="Normal 2 4 5 6 2" xfId="3444" xr:uid="{00000000-0005-0000-0000-0000C7100000}"/>
    <cellStyle name="Normal 2 4 5 6 2 2" xfId="7666" xr:uid="{00000000-0005-0000-0000-0000C8100000}"/>
    <cellStyle name="Normal 2 4 5 6 2 2 2" xfId="16116" xr:uid="{B932CA41-ED10-41CF-ABF8-980396C72D5A}"/>
    <cellStyle name="Normal 2 4 5 6 2 3" xfId="11898" xr:uid="{B04A43E0-556F-4C2B-84BD-0408FAE094C2}"/>
    <cellStyle name="Normal 2 4 5 6 3" xfId="5521" xr:uid="{00000000-0005-0000-0000-0000C9100000}"/>
    <cellStyle name="Normal 2 4 5 6 3 2" xfId="13971" xr:uid="{E1B1CF11-FFB2-47FF-8A20-AE5C19ECD603}"/>
    <cellStyle name="Normal 2 4 5 6 4" xfId="9753" xr:uid="{908032C0-A783-4FAE-B1A9-B7B8F508FA52}"/>
    <cellStyle name="Normal 2 4 5 7" xfId="1627" xr:uid="{00000000-0005-0000-0000-0000CA100000}"/>
    <cellStyle name="Normal 2 4 5 7 2" xfId="3857" xr:uid="{00000000-0005-0000-0000-0000CB100000}"/>
    <cellStyle name="Normal 2 4 5 7 2 2" xfId="8079" xr:uid="{00000000-0005-0000-0000-0000CC100000}"/>
    <cellStyle name="Normal 2 4 5 7 2 2 2" xfId="16529" xr:uid="{69D4A0B6-A96F-45FF-9648-DF80ECDE901F}"/>
    <cellStyle name="Normal 2 4 5 7 2 3" xfId="12311" xr:uid="{863F4176-71AB-478B-BE33-A861291ECBAE}"/>
    <cellStyle name="Normal 2 4 5 7 3" xfId="5934" xr:uid="{00000000-0005-0000-0000-0000CD100000}"/>
    <cellStyle name="Normal 2 4 5 7 3 2" xfId="14384" xr:uid="{86502A75-B2A4-4E8B-97C5-7397CEA62D69}"/>
    <cellStyle name="Normal 2 4 5 7 4" xfId="10166" xr:uid="{14CCC939-4503-4CF8-86E7-C828DEBD868B}"/>
    <cellStyle name="Normal 2 4 5 8" xfId="2041" xr:uid="{00000000-0005-0000-0000-0000CE100000}"/>
    <cellStyle name="Normal 2 4 5 8 2" xfId="4270" xr:uid="{00000000-0005-0000-0000-0000CF100000}"/>
    <cellStyle name="Normal 2 4 5 8 2 2" xfId="8492" xr:uid="{00000000-0005-0000-0000-0000D0100000}"/>
    <cellStyle name="Normal 2 4 5 8 2 2 2" xfId="16942" xr:uid="{324F0A2D-9734-43FE-8A5C-473E05EE4602}"/>
    <cellStyle name="Normal 2 4 5 8 2 3" xfId="12724" xr:uid="{52962266-5268-42BF-89E2-D09A3361F6B0}"/>
    <cellStyle name="Normal 2 4 5 8 3" xfId="6347" xr:uid="{00000000-0005-0000-0000-0000D1100000}"/>
    <cellStyle name="Normal 2 4 5 8 3 2" xfId="14797" xr:uid="{CB22A912-2292-4474-9F3A-5EBAADDA578E}"/>
    <cellStyle name="Normal 2 4 5 8 4" xfId="10579" xr:uid="{8C4276EE-02B1-474F-84EB-8382DCA213A7}"/>
    <cellStyle name="Normal 2 4 5 9" xfId="2477" xr:uid="{00000000-0005-0000-0000-0000D2100000}"/>
    <cellStyle name="Normal 2 4 5 9 2" xfId="6760" xr:uid="{00000000-0005-0000-0000-0000D3100000}"/>
    <cellStyle name="Normal 2 4 5 9 2 2" xfId="15210" xr:uid="{E78E9427-AFBA-460C-A30A-60A0091DD0C4}"/>
    <cellStyle name="Normal 2 4 5 9 3" xfId="10992" xr:uid="{29F5CC24-3667-4E34-93A1-5DC7D33EDEBB}"/>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2 2 2" xfId="15712" xr:uid="{4D44163F-3848-4D60-912B-3B9E36D26BB9}"/>
    <cellStyle name="Normal 2 4 7 2 2 2 3" xfId="11494" xr:uid="{385CDD2B-B1FD-4915-89F3-F4195F4D5951}"/>
    <cellStyle name="Normal 2 4 7 2 2 3" xfId="5117" xr:uid="{00000000-0005-0000-0000-0000DA100000}"/>
    <cellStyle name="Normal 2 4 7 2 2 3 2" xfId="13567" xr:uid="{8EFE780F-0FA3-4653-BD58-DFA91AEECF7D}"/>
    <cellStyle name="Normal 2 4 7 2 2 4" xfId="9349" xr:uid="{2AE90428-A4DE-4D9F-BF58-8FC142ABE53D}"/>
    <cellStyle name="Normal 2 4 7 2 3" xfId="1223" xr:uid="{00000000-0005-0000-0000-0000DB100000}"/>
    <cellStyle name="Normal 2 4 7 2 3 2" xfId="3453" xr:uid="{00000000-0005-0000-0000-0000DC100000}"/>
    <cellStyle name="Normal 2 4 7 2 3 2 2" xfId="7675" xr:uid="{00000000-0005-0000-0000-0000DD100000}"/>
    <cellStyle name="Normal 2 4 7 2 3 2 2 2" xfId="16125" xr:uid="{D35765D5-7269-4C90-BEA4-DC6FEEF7D314}"/>
    <cellStyle name="Normal 2 4 7 2 3 2 3" xfId="11907" xr:uid="{06714036-3B47-41DA-A59E-1D68083D2AD3}"/>
    <cellStyle name="Normal 2 4 7 2 3 3" xfId="5530" xr:uid="{00000000-0005-0000-0000-0000DE100000}"/>
    <cellStyle name="Normal 2 4 7 2 3 3 2" xfId="13980" xr:uid="{5C596D2A-8B21-4312-8699-B8A8A7A0055B}"/>
    <cellStyle name="Normal 2 4 7 2 3 4" xfId="9762" xr:uid="{495F7377-C49A-470C-8C63-50A86AD45917}"/>
    <cellStyle name="Normal 2 4 7 2 4" xfId="1636" xr:uid="{00000000-0005-0000-0000-0000DF100000}"/>
    <cellStyle name="Normal 2 4 7 2 4 2" xfId="3866" xr:uid="{00000000-0005-0000-0000-0000E0100000}"/>
    <cellStyle name="Normal 2 4 7 2 4 2 2" xfId="8088" xr:uid="{00000000-0005-0000-0000-0000E1100000}"/>
    <cellStyle name="Normal 2 4 7 2 4 2 2 2" xfId="16538" xr:uid="{EA952F5D-969F-4FC1-B8C3-84D042CD630B}"/>
    <cellStyle name="Normal 2 4 7 2 4 2 3" xfId="12320" xr:uid="{E40F8BCB-BF33-4533-98CD-16AD44AA895B}"/>
    <cellStyle name="Normal 2 4 7 2 4 3" xfId="5943" xr:uid="{00000000-0005-0000-0000-0000E2100000}"/>
    <cellStyle name="Normal 2 4 7 2 4 3 2" xfId="14393" xr:uid="{2EFA02CA-0F1F-4AC8-9BB3-547E3FE05129}"/>
    <cellStyle name="Normal 2 4 7 2 4 4" xfId="10175" xr:uid="{B7CBB466-FA69-456F-87C2-6312F6ED1F3A}"/>
    <cellStyle name="Normal 2 4 7 2 5" xfId="2050" xr:uid="{00000000-0005-0000-0000-0000E3100000}"/>
    <cellStyle name="Normal 2 4 7 2 5 2" xfId="4279" xr:uid="{00000000-0005-0000-0000-0000E4100000}"/>
    <cellStyle name="Normal 2 4 7 2 5 2 2" xfId="8501" xr:uid="{00000000-0005-0000-0000-0000E5100000}"/>
    <cellStyle name="Normal 2 4 7 2 5 2 2 2" xfId="16951" xr:uid="{4CEE6DEF-56E1-4A58-A81A-CE9F33E015ED}"/>
    <cellStyle name="Normal 2 4 7 2 5 2 3" xfId="12733" xr:uid="{1D6028A2-0CC4-4011-8CC0-C9AC548347F0}"/>
    <cellStyle name="Normal 2 4 7 2 5 3" xfId="6356" xr:uid="{00000000-0005-0000-0000-0000E6100000}"/>
    <cellStyle name="Normal 2 4 7 2 5 3 2" xfId="14806" xr:uid="{7831187B-B27E-4986-A2F8-909D04DE9D9F}"/>
    <cellStyle name="Normal 2 4 7 2 5 4" xfId="10588" xr:uid="{4FEF0328-BFCC-48AD-9623-60A1223F668C}"/>
    <cellStyle name="Normal 2 4 7 2 6" xfId="2486" xr:uid="{00000000-0005-0000-0000-0000E7100000}"/>
    <cellStyle name="Normal 2 4 7 2 6 2" xfId="6769" xr:uid="{00000000-0005-0000-0000-0000E8100000}"/>
    <cellStyle name="Normal 2 4 7 2 6 2 2" xfId="15219" xr:uid="{363F2173-C9CE-4D25-92BE-325022FF2758}"/>
    <cellStyle name="Normal 2 4 7 2 6 3" xfId="11001" xr:uid="{3F2A48DC-23BB-4C97-BF6B-CEBD25DCE9F7}"/>
    <cellStyle name="Normal 2 4 7 2 7" xfId="4703" xr:uid="{00000000-0005-0000-0000-0000E9100000}"/>
    <cellStyle name="Normal 2 4 7 2 7 2" xfId="13153" xr:uid="{7FA62CF6-47B5-4A0C-8998-97C0A22D6189}"/>
    <cellStyle name="Normal 2 4 7 2 8" xfId="8935" xr:uid="{AFB953A9-0894-48EB-85EE-BB850E7F4A43}"/>
    <cellStyle name="Normal 2 4 7 3" xfId="800" xr:uid="{00000000-0005-0000-0000-0000EA100000}"/>
    <cellStyle name="Normal 2 4 7 3 2" xfId="3039" xr:uid="{00000000-0005-0000-0000-0000EB100000}"/>
    <cellStyle name="Normal 2 4 7 3 2 2" xfId="7261" xr:uid="{00000000-0005-0000-0000-0000EC100000}"/>
    <cellStyle name="Normal 2 4 7 3 2 2 2" xfId="15711" xr:uid="{409B9553-0D08-4C14-BF0A-81C50DC998F9}"/>
    <cellStyle name="Normal 2 4 7 3 2 3" xfId="11493" xr:uid="{0A7FCE81-104C-4334-ABF3-CE04F8A1703D}"/>
    <cellStyle name="Normal 2 4 7 3 3" xfId="5116" xr:uid="{00000000-0005-0000-0000-0000ED100000}"/>
    <cellStyle name="Normal 2 4 7 3 3 2" xfId="13566" xr:uid="{CC5DE8A1-9B51-4A5A-B0ED-3BBC0A30459A}"/>
    <cellStyle name="Normal 2 4 7 3 4" xfId="9348" xr:uid="{FC2F31DF-B965-4426-9055-424A71846428}"/>
    <cellStyle name="Normal 2 4 7 4" xfId="1222" xr:uid="{00000000-0005-0000-0000-0000EE100000}"/>
    <cellStyle name="Normal 2 4 7 4 2" xfId="3452" xr:uid="{00000000-0005-0000-0000-0000EF100000}"/>
    <cellStyle name="Normal 2 4 7 4 2 2" xfId="7674" xr:uid="{00000000-0005-0000-0000-0000F0100000}"/>
    <cellStyle name="Normal 2 4 7 4 2 2 2" xfId="16124" xr:uid="{99DC5AAE-E6C4-4752-8EC8-F716B79AC46B}"/>
    <cellStyle name="Normal 2 4 7 4 2 3" xfId="11906" xr:uid="{0A3F327B-6AF3-40BE-B55C-5BEDAC7B3549}"/>
    <cellStyle name="Normal 2 4 7 4 3" xfId="5529" xr:uid="{00000000-0005-0000-0000-0000F1100000}"/>
    <cellStyle name="Normal 2 4 7 4 3 2" xfId="13979" xr:uid="{0A766C6D-A9B4-4CE3-B79B-616A1A7729DC}"/>
    <cellStyle name="Normal 2 4 7 4 4" xfId="9761" xr:uid="{F4AFDFCC-5B74-4E55-8FCA-FB5A0583E2BA}"/>
    <cellStyle name="Normal 2 4 7 5" xfId="1635" xr:uid="{00000000-0005-0000-0000-0000F2100000}"/>
    <cellStyle name="Normal 2 4 7 5 2" xfId="3865" xr:uid="{00000000-0005-0000-0000-0000F3100000}"/>
    <cellStyle name="Normal 2 4 7 5 2 2" xfId="8087" xr:uid="{00000000-0005-0000-0000-0000F4100000}"/>
    <cellStyle name="Normal 2 4 7 5 2 2 2" xfId="16537" xr:uid="{0D92772C-AC10-4607-8A5D-A5C7F0ED3DFB}"/>
    <cellStyle name="Normal 2 4 7 5 2 3" xfId="12319" xr:uid="{A8243B5C-6E05-471C-91ED-CD503BD76630}"/>
    <cellStyle name="Normal 2 4 7 5 3" xfId="5942" xr:uid="{00000000-0005-0000-0000-0000F5100000}"/>
    <cellStyle name="Normal 2 4 7 5 3 2" xfId="14392" xr:uid="{80647CFE-14B9-4493-B8FD-BB138F30FCF4}"/>
    <cellStyle name="Normal 2 4 7 5 4" xfId="10174" xr:uid="{CD7080BF-7EAF-4ABC-8403-BEBF73C09118}"/>
    <cellStyle name="Normal 2 4 7 6" xfId="2049" xr:uid="{00000000-0005-0000-0000-0000F6100000}"/>
    <cellStyle name="Normal 2 4 7 6 2" xfId="4278" xr:uid="{00000000-0005-0000-0000-0000F7100000}"/>
    <cellStyle name="Normal 2 4 7 6 2 2" xfId="8500" xr:uid="{00000000-0005-0000-0000-0000F8100000}"/>
    <cellStyle name="Normal 2 4 7 6 2 2 2" xfId="16950" xr:uid="{50F392DF-5994-4541-8F76-66C9CD45C5FD}"/>
    <cellStyle name="Normal 2 4 7 6 2 3" xfId="12732" xr:uid="{A11A4E2D-B33A-4196-B1EE-4730A57C42FC}"/>
    <cellStyle name="Normal 2 4 7 6 3" xfId="6355" xr:uid="{00000000-0005-0000-0000-0000F9100000}"/>
    <cellStyle name="Normal 2 4 7 6 3 2" xfId="14805" xr:uid="{375A8E51-904B-406A-8795-68C7DE14007F}"/>
    <cellStyle name="Normal 2 4 7 6 4" xfId="10587" xr:uid="{3B835F46-483E-421C-8869-70100E8161CD}"/>
    <cellStyle name="Normal 2 4 7 7" xfId="2485" xr:uid="{00000000-0005-0000-0000-0000FA100000}"/>
    <cellStyle name="Normal 2 4 7 7 2" xfId="6768" xr:uid="{00000000-0005-0000-0000-0000FB100000}"/>
    <cellStyle name="Normal 2 4 7 7 2 2" xfId="15218" xr:uid="{DC28A61B-C465-40DE-8AB3-B3BBA43EE2E6}"/>
    <cellStyle name="Normal 2 4 7 7 3" xfId="11000" xr:uid="{9C59E0F9-6A55-4284-9C2A-F912B2867FA2}"/>
    <cellStyle name="Normal 2 4 7 8" xfId="4702" xr:uid="{00000000-0005-0000-0000-0000FC100000}"/>
    <cellStyle name="Normal 2 4 7 8 2" xfId="13152" xr:uid="{0C257565-7683-42E8-AA9D-2E7ACF7247E2}"/>
    <cellStyle name="Normal 2 4 7 9" xfId="8934" xr:uid="{A7B6A6CC-190A-4EA8-AD0D-DBA1CEA183FC}"/>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2 2 2" xfId="15713" xr:uid="{2AA84D8D-3B23-44B9-B0AF-12763DE7456D}"/>
    <cellStyle name="Normal 2 4 8 2 2 3" xfId="11495" xr:uid="{C756AF4D-3FD6-435A-A7A9-6CC8FD77A9B4}"/>
    <cellStyle name="Normal 2 4 8 2 3" xfId="5118" xr:uid="{00000000-0005-0000-0000-000001110000}"/>
    <cellStyle name="Normal 2 4 8 2 3 2" xfId="13568" xr:uid="{DCA8BE66-D72A-4EB1-864D-47CE70BC310D}"/>
    <cellStyle name="Normal 2 4 8 2 4" xfId="9350" xr:uid="{2F1FDD1D-1852-4E18-BCA4-CB94546A0EDB}"/>
    <cellStyle name="Normal 2 4 8 3" xfId="1224" xr:uid="{00000000-0005-0000-0000-000002110000}"/>
    <cellStyle name="Normal 2 4 8 3 2" xfId="3454" xr:uid="{00000000-0005-0000-0000-000003110000}"/>
    <cellStyle name="Normal 2 4 8 3 2 2" xfId="7676" xr:uid="{00000000-0005-0000-0000-000004110000}"/>
    <cellStyle name="Normal 2 4 8 3 2 2 2" xfId="16126" xr:uid="{71EE69A5-122E-4807-9BE9-0F9BE2AF20DF}"/>
    <cellStyle name="Normal 2 4 8 3 2 3" xfId="11908" xr:uid="{C474C6F4-BB8E-4766-9377-65D4218441F6}"/>
    <cellStyle name="Normal 2 4 8 3 3" xfId="5531" xr:uid="{00000000-0005-0000-0000-000005110000}"/>
    <cellStyle name="Normal 2 4 8 3 3 2" xfId="13981" xr:uid="{13456EEE-287C-43B8-978A-F8F08329F7FE}"/>
    <cellStyle name="Normal 2 4 8 3 4" xfId="9763" xr:uid="{9C1D1AC0-8B19-41A3-8A8C-663C4626FA38}"/>
    <cellStyle name="Normal 2 4 8 4" xfId="1637" xr:uid="{00000000-0005-0000-0000-000006110000}"/>
    <cellStyle name="Normal 2 4 8 4 2" xfId="3867" xr:uid="{00000000-0005-0000-0000-000007110000}"/>
    <cellStyle name="Normal 2 4 8 4 2 2" xfId="8089" xr:uid="{00000000-0005-0000-0000-000008110000}"/>
    <cellStyle name="Normal 2 4 8 4 2 2 2" xfId="16539" xr:uid="{45654826-97D0-4000-96BA-C45A563FFEFE}"/>
    <cellStyle name="Normal 2 4 8 4 2 3" xfId="12321" xr:uid="{F172DA19-45BB-46E3-A645-BD1CE0191349}"/>
    <cellStyle name="Normal 2 4 8 4 3" xfId="5944" xr:uid="{00000000-0005-0000-0000-000009110000}"/>
    <cellStyle name="Normal 2 4 8 4 3 2" xfId="14394" xr:uid="{239E38D4-52B5-40FB-AA97-3CCA8ED471C1}"/>
    <cellStyle name="Normal 2 4 8 4 4" xfId="10176" xr:uid="{162C0E8C-210E-4384-BB7B-D67A0A9FBAE3}"/>
    <cellStyle name="Normal 2 4 8 5" xfId="2051" xr:uid="{00000000-0005-0000-0000-00000A110000}"/>
    <cellStyle name="Normal 2 4 8 5 2" xfId="4280" xr:uid="{00000000-0005-0000-0000-00000B110000}"/>
    <cellStyle name="Normal 2 4 8 5 2 2" xfId="8502" xr:uid="{00000000-0005-0000-0000-00000C110000}"/>
    <cellStyle name="Normal 2 4 8 5 2 2 2" xfId="16952" xr:uid="{EC5640B1-FD3A-4384-9781-7765BCA7BCF8}"/>
    <cellStyle name="Normal 2 4 8 5 2 3" xfId="12734" xr:uid="{AFBE9F63-3967-4479-BEAC-3F2D318B7DA2}"/>
    <cellStyle name="Normal 2 4 8 5 3" xfId="6357" xr:uid="{00000000-0005-0000-0000-00000D110000}"/>
    <cellStyle name="Normal 2 4 8 5 3 2" xfId="14807" xr:uid="{4C925A18-FD04-404F-A9BD-2302DF96AF02}"/>
    <cellStyle name="Normal 2 4 8 5 4" xfId="10589" xr:uid="{5C374A4D-5386-40F6-8B5E-363D3B54CE8C}"/>
    <cellStyle name="Normal 2 4 8 6" xfId="2487" xr:uid="{00000000-0005-0000-0000-00000E110000}"/>
    <cellStyle name="Normal 2 4 8 6 2" xfId="6770" xr:uid="{00000000-0005-0000-0000-00000F110000}"/>
    <cellStyle name="Normal 2 4 8 6 2 2" xfId="15220" xr:uid="{00619732-1309-4995-A433-92AC63371D0E}"/>
    <cellStyle name="Normal 2 4 8 6 3" xfId="11002" xr:uid="{13D4BABA-0100-4E66-B253-AA2371BC794A}"/>
    <cellStyle name="Normal 2 4 8 7" xfId="4704" xr:uid="{00000000-0005-0000-0000-000010110000}"/>
    <cellStyle name="Normal 2 4 8 7 2" xfId="13154" xr:uid="{2FCBDA5B-0A0E-4A37-968E-D7140D012F1E}"/>
    <cellStyle name="Normal 2 4 8 8" xfId="8936" xr:uid="{1C6F6B2A-DBF2-4C0F-80F5-876920226D48}"/>
    <cellStyle name="Normal 2 5" xfId="315" xr:uid="{00000000-0005-0000-0000-000011110000}"/>
    <cellStyle name="Normal 2 5 10" xfId="4705" xr:uid="{00000000-0005-0000-0000-000012110000}"/>
    <cellStyle name="Normal 2 5 10 2" xfId="13155" xr:uid="{8D90A1DD-6D9C-43D9-A52C-30430B0FE796}"/>
    <cellStyle name="Normal 2 5 11" xfId="8937" xr:uid="{5E9F2361-F396-4DA9-9301-FA8CD819B5DA}"/>
    <cellStyle name="Normal 2 5 2" xfId="316" xr:uid="{00000000-0005-0000-0000-000013110000}"/>
    <cellStyle name="Normal 2 5 3" xfId="317" xr:uid="{00000000-0005-0000-0000-000014110000}"/>
    <cellStyle name="Normal 2 5 4" xfId="318" xr:uid="{00000000-0005-0000-0000-000015110000}"/>
    <cellStyle name="Normal 2 5 4 10" xfId="8938" xr:uid="{5B67036E-D3AC-493F-8267-1FAB3059DD66}"/>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2 2 2" xfId="15717" xr:uid="{4695ECF9-2048-445E-AAFE-DB05EDCA55C7}"/>
    <cellStyle name="Normal 2 5 4 2 2 2 2 3" xfId="11499" xr:uid="{9D0C9CA2-9C8F-4418-ABAE-EB276D9CB885}"/>
    <cellStyle name="Normal 2 5 4 2 2 2 3" xfId="5122" xr:uid="{00000000-0005-0000-0000-00001B110000}"/>
    <cellStyle name="Normal 2 5 4 2 2 2 3 2" xfId="13572" xr:uid="{AA55F087-6F19-42C4-AC1F-4EF621AF49EA}"/>
    <cellStyle name="Normal 2 5 4 2 2 2 4" xfId="9354" xr:uid="{89996D0F-FEBF-4C82-9389-AED075BC611E}"/>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2 2 2" xfId="16130" xr:uid="{93CA55B4-8777-48BF-B7A4-B15B60609013}"/>
    <cellStyle name="Normal 2 5 4 2 2 3 2 3" xfId="11912" xr:uid="{4D47EBAD-E6C6-4DB4-A343-602067986549}"/>
    <cellStyle name="Normal 2 5 4 2 2 3 3" xfId="5535" xr:uid="{00000000-0005-0000-0000-00001F110000}"/>
    <cellStyle name="Normal 2 5 4 2 2 3 3 2" xfId="13985" xr:uid="{5AFA12DA-2B78-49D7-9A87-3054551D3EC7}"/>
    <cellStyle name="Normal 2 5 4 2 2 3 4" xfId="9767" xr:uid="{1906EBA7-F400-450C-946D-79B4C4E419D6}"/>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2 2 2" xfId="16543" xr:uid="{DEB6F540-9DAF-4977-B613-26D52DEED3C4}"/>
    <cellStyle name="Normal 2 5 4 2 2 4 2 3" xfId="12325" xr:uid="{BCEC34F7-473B-4391-8978-B9ACB37D3D55}"/>
    <cellStyle name="Normal 2 5 4 2 2 4 3" xfId="5948" xr:uid="{00000000-0005-0000-0000-000023110000}"/>
    <cellStyle name="Normal 2 5 4 2 2 4 3 2" xfId="14398" xr:uid="{61D8F696-D1D6-41A7-8411-ABE4D509BBCF}"/>
    <cellStyle name="Normal 2 5 4 2 2 4 4" xfId="10180" xr:uid="{7E0F1D05-59EC-4A05-B3B2-58B541D7E001}"/>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2 2 2" xfId="16956" xr:uid="{740F4F61-9141-4590-902D-540EE10D5B23}"/>
    <cellStyle name="Normal 2 5 4 2 2 5 2 3" xfId="12738" xr:uid="{205C64E6-DAB7-4454-B582-332700E166C5}"/>
    <cellStyle name="Normal 2 5 4 2 2 5 3" xfId="6361" xr:uid="{00000000-0005-0000-0000-000027110000}"/>
    <cellStyle name="Normal 2 5 4 2 2 5 3 2" xfId="14811" xr:uid="{5228B20A-E170-4213-9E19-2787019E3A10}"/>
    <cellStyle name="Normal 2 5 4 2 2 5 4" xfId="10593" xr:uid="{A54B527B-3BB8-47CF-AAF8-D3E31141C76A}"/>
    <cellStyle name="Normal 2 5 4 2 2 6" xfId="2491" xr:uid="{00000000-0005-0000-0000-000028110000}"/>
    <cellStyle name="Normal 2 5 4 2 2 6 2" xfId="6774" xr:uid="{00000000-0005-0000-0000-000029110000}"/>
    <cellStyle name="Normal 2 5 4 2 2 6 2 2" xfId="15224" xr:uid="{317D6A4F-AE3F-4295-94A0-D789D66132F8}"/>
    <cellStyle name="Normal 2 5 4 2 2 6 3" xfId="11006" xr:uid="{CCA54CF7-A793-4D93-B05E-D3648862B872}"/>
    <cellStyle name="Normal 2 5 4 2 2 7" xfId="4708" xr:uid="{00000000-0005-0000-0000-00002A110000}"/>
    <cellStyle name="Normal 2 5 4 2 2 7 2" xfId="13158" xr:uid="{8E80D495-3FFC-4AF4-866C-55FEBACBEDAB}"/>
    <cellStyle name="Normal 2 5 4 2 2 8" xfId="8940" xr:uid="{FB29DD44-EEAB-4760-94BD-A2342B8A928D}"/>
    <cellStyle name="Normal 2 5 4 2 3" xfId="805" xr:uid="{00000000-0005-0000-0000-00002B110000}"/>
    <cellStyle name="Normal 2 5 4 2 3 2" xfId="3044" xr:uid="{00000000-0005-0000-0000-00002C110000}"/>
    <cellStyle name="Normal 2 5 4 2 3 2 2" xfId="7266" xr:uid="{00000000-0005-0000-0000-00002D110000}"/>
    <cellStyle name="Normal 2 5 4 2 3 2 2 2" xfId="15716" xr:uid="{B0AEF79D-84B7-479B-B230-A835CA3301F1}"/>
    <cellStyle name="Normal 2 5 4 2 3 2 3" xfId="11498" xr:uid="{9D7662A1-6C06-4A4F-A7D5-5A397FC3516F}"/>
    <cellStyle name="Normal 2 5 4 2 3 3" xfId="5121" xr:uid="{00000000-0005-0000-0000-00002E110000}"/>
    <cellStyle name="Normal 2 5 4 2 3 3 2" xfId="13571" xr:uid="{3E4703AD-EF7C-45D9-AF9B-D718DA6370C8}"/>
    <cellStyle name="Normal 2 5 4 2 3 4" xfId="9353" xr:uid="{FFD6FC5C-EDBC-488E-89CF-142ED5F7FF66}"/>
    <cellStyle name="Normal 2 5 4 2 4" xfId="1227" xr:uid="{00000000-0005-0000-0000-00002F110000}"/>
    <cellStyle name="Normal 2 5 4 2 4 2" xfId="3457" xr:uid="{00000000-0005-0000-0000-000030110000}"/>
    <cellStyle name="Normal 2 5 4 2 4 2 2" xfId="7679" xr:uid="{00000000-0005-0000-0000-000031110000}"/>
    <cellStyle name="Normal 2 5 4 2 4 2 2 2" xfId="16129" xr:uid="{6C40D51F-F8A8-415A-A2E3-EF2CB1683A27}"/>
    <cellStyle name="Normal 2 5 4 2 4 2 3" xfId="11911" xr:uid="{BC12CEA1-A15A-4CE0-9208-322807D4D85B}"/>
    <cellStyle name="Normal 2 5 4 2 4 3" xfId="5534" xr:uid="{00000000-0005-0000-0000-000032110000}"/>
    <cellStyle name="Normal 2 5 4 2 4 3 2" xfId="13984" xr:uid="{F05A0141-373B-4D8F-8D6B-1414F44BA65F}"/>
    <cellStyle name="Normal 2 5 4 2 4 4" xfId="9766" xr:uid="{1A179F59-2A35-4787-AC49-6F4323A35D84}"/>
    <cellStyle name="Normal 2 5 4 2 5" xfId="1640" xr:uid="{00000000-0005-0000-0000-000033110000}"/>
    <cellStyle name="Normal 2 5 4 2 5 2" xfId="3870" xr:uid="{00000000-0005-0000-0000-000034110000}"/>
    <cellStyle name="Normal 2 5 4 2 5 2 2" xfId="8092" xr:uid="{00000000-0005-0000-0000-000035110000}"/>
    <cellStyle name="Normal 2 5 4 2 5 2 2 2" xfId="16542" xr:uid="{65465630-D285-4F8D-BFF6-3BCE9430458A}"/>
    <cellStyle name="Normal 2 5 4 2 5 2 3" xfId="12324" xr:uid="{2DD18D5A-9A5C-4C42-AA3F-25840CCEDE95}"/>
    <cellStyle name="Normal 2 5 4 2 5 3" xfId="5947" xr:uid="{00000000-0005-0000-0000-000036110000}"/>
    <cellStyle name="Normal 2 5 4 2 5 3 2" xfId="14397" xr:uid="{290C33D1-E679-4D70-950C-B1045945BC0E}"/>
    <cellStyle name="Normal 2 5 4 2 5 4" xfId="10179" xr:uid="{CE5FB46A-7F41-4EC2-80FB-9F1D010C5E45}"/>
    <cellStyle name="Normal 2 5 4 2 6" xfId="2054" xr:uid="{00000000-0005-0000-0000-000037110000}"/>
    <cellStyle name="Normal 2 5 4 2 6 2" xfId="4283" xr:uid="{00000000-0005-0000-0000-000038110000}"/>
    <cellStyle name="Normal 2 5 4 2 6 2 2" xfId="8505" xr:uid="{00000000-0005-0000-0000-000039110000}"/>
    <cellStyle name="Normal 2 5 4 2 6 2 2 2" xfId="16955" xr:uid="{53C112E4-DB9D-43F1-8075-DE3347F1F1AB}"/>
    <cellStyle name="Normal 2 5 4 2 6 2 3" xfId="12737" xr:uid="{DF2B89F4-6E78-4C0A-9E23-C58152EEBCF3}"/>
    <cellStyle name="Normal 2 5 4 2 6 3" xfId="6360" xr:uid="{00000000-0005-0000-0000-00003A110000}"/>
    <cellStyle name="Normal 2 5 4 2 6 3 2" xfId="14810" xr:uid="{E7DB11D7-A1EF-45B5-93F8-8C767C7A890E}"/>
    <cellStyle name="Normal 2 5 4 2 6 4" xfId="10592" xr:uid="{9CF837AD-9A96-48DC-920D-EEDC4C777930}"/>
    <cellStyle name="Normal 2 5 4 2 7" xfId="2490" xr:uid="{00000000-0005-0000-0000-00003B110000}"/>
    <cellStyle name="Normal 2 5 4 2 7 2" xfId="6773" xr:uid="{00000000-0005-0000-0000-00003C110000}"/>
    <cellStyle name="Normal 2 5 4 2 7 2 2" xfId="15223" xr:uid="{302C9333-DB34-4112-9F6E-4199FB4BD402}"/>
    <cellStyle name="Normal 2 5 4 2 7 3" xfId="11005" xr:uid="{80F1C3BF-565A-4137-97DD-581C7C3EFAD5}"/>
    <cellStyle name="Normal 2 5 4 2 8" xfId="4707" xr:uid="{00000000-0005-0000-0000-00003D110000}"/>
    <cellStyle name="Normal 2 5 4 2 8 2" xfId="13157" xr:uid="{B9FF2CCF-7C7F-41E8-9DD8-F090A03AC54C}"/>
    <cellStyle name="Normal 2 5 4 2 9" xfId="8939" xr:uid="{59695E76-8298-488E-98E2-0EF8A57414B2}"/>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2 2 2" xfId="15718" xr:uid="{6BB564F9-26D9-4CE9-8770-91DCC56E738D}"/>
    <cellStyle name="Normal 2 5 4 3 2 2 3" xfId="11500" xr:uid="{32B2A9D9-F5FE-450C-A2C6-8F47E7F3E03D}"/>
    <cellStyle name="Normal 2 5 4 3 2 3" xfId="5123" xr:uid="{00000000-0005-0000-0000-000042110000}"/>
    <cellStyle name="Normal 2 5 4 3 2 3 2" xfId="13573" xr:uid="{26346945-E146-4DD5-9348-3614CC3D7397}"/>
    <cellStyle name="Normal 2 5 4 3 2 4" xfId="9355" xr:uid="{446AF11B-CAE5-472B-BD20-07A0A7BE39C3}"/>
    <cellStyle name="Normal 2 5 4 3 3" xfId="1229" xr:uid="{00000000-0005-0000-0000-000043110000}"/>
    <cellStyle name="Normal 2 5 4 3 3 2" xfId="3459" xr:uid="{00000000-0005-0000-0000-000044110000}"/>
    <cellStyle name="Normal 2 5 4 3 3 2 2" xfId="7681" xr:uid="{00000000-0005-0000-0000-000045110000}"/>
    <cellStyle name="Normal 2 5 4 3 3 2 2 2" xfId="16131" xr:uid="{C1A589C7-E426-46CB-81E1-9380F0174040}"/>
    <cellStyle name="Normal 2 5 4 3 3 2 3" xfId="11913" xr:uid="{4CC2D1DF-416D-45F8-B005-E93E6083EC6C}"/>
    <cellStyle name="Normal 2 5 4 3 3 3" xfId="5536" xr:uid="{00000000-0005-0000-0000-000046110000}"/>
    <cellStyle name="Normal 2 5 4 3 3 3 2" xfId="13986" xr:uid="{C530D389-F75E-4213-855F-5B02A1A4D291}"/>
    <cellStyle name="Normal 2 5 4 3 3 4" xfId="9768" xr:uid="{5AAE4AE2-DBC2-4D74-AA90-03F25E2FB6CB}"/>
    <cellStyle name="Normal 2 5 4 3 4" xfId="1642" xr:uid="{00000000-0005-0000-0000-000047110000}"/>
    <cellStyle name="Normal 2 5 4 3 4 2" xfId="3872" xr:uid="{00000000-0005-0000-0000-000048110000}"/>
    <cellStyle name="Normal 2 5 4 3 4 2 2" xfId="8094" xr:uid="{00000000-0005-0000-0000-000049110000}"/>
    <cellStyle name="Normal 2 5 4 3 4 2 2 2" xfId="16544" xr:uid="{DFE37E8B-46F1-4885-B213-E3057D54D96B}"/>
    <cellStyle name="Normal 2 5 4 3 4 2 3" xfId="12326" xr:uid="{4F43EDA0-6828-4F6A-AE86-D0534DC88A2B}"/>
    <cellStyle name="Normal 2 5 4 3 4 3" xfId="5949" xr:uid="{00000000-0005-0000-0000-00004A110000}"/>
    <cellStyle name="Normal 2 5 4 3 4 3 2" xfId="14399" xr:uid="{D6CC4604-8360-4EB8-A642-D66964783AEB}"/>
    <cellStyle name="Normal 2 5 4 3 4 4" xfId="10181" xr:uid="{5C03EF01-FFFE-442F-9648-63650E673266}"/>
    <cellStyle name="Normal 2 5 4 3 5" xfId="2056" xr:uid="{00000000-0005-0000-0000-00004B110000}"/>
    <cellStyle name="Normal 2 5 4 3 5 2" xfId="4285" xr:uid="{00000000-0005-0000-0000-00004C110000}"/>
    <cellStyle name="Normal 2 5 4 3 5 2 2" xfId="8507" xr:uid="{00000000-0005-0000-0000-00004D110000}"/>
    <cellStyle name="Normal 2 5 4 3 5 2 2 2" xfId="16957" xr:uid="{6E396A23-76E3-4CFF-95FA-EA4806B4163D}"/>
    <cellStyle name="Normal 2 5 4 3 5 2 3" xfId="12739" xr:uid="{3F9CECEE-139D-42CE-A726-C8DE478148B6}"/>
    <cellStyle name="Normal 2 5 4 3 5 3" xfId="6362" xr:uid="{00000000-0005-0000-0000-00004E110000}"/>
    <cellStyle name="Normal 2 5 4 3 5 3 2" xfId="14812" xr:uid="{2E40C839-2405-466F-AA19-C281AD1AE53B}"/>
    <cellStyle name="Normal 2 5 4 3 5 4" xfId="10594" xr:uid="{51EAE310-7A83-4D66-B0C0-29705A64A720}"/>
    <cellStyle name="Normal 2 5 4 3 6" xfId="2492" xr:uid="{00000000-0005-0000-0000-00004F110000}"/>
    <cellStyle name="Normal 2 5 4 3 6 2" xfId="6775" xr:uid="{00000000-0005-0000-0000-000050110000}"/>
    <cellStyle name="Normal 2 5 4 3 6 2 2" xfId="15225" xr:uid="{F35EBFD7-E973-4ACF-B97B-2480D09F14CB}"/>
    <cellStyle name="Normal 2 5 4 3 6 3" xfId="11007" xr:uid="{C75A15F4-B323-48E1-85DB-47CC0525B831}"/>
    <cellStyle name="Normal 2 5 4 3 7" xfId="4709" xr:uid="{00000000-0005-0000-0000-000051110000}"/>
    <cellStyle name="Normal 2 5 4 3 7 2" xfId="13159" xr:uid="{3D873A9C-68AA-4DD7-9573-F07149B71257}"/>
    <cellStyle name="Normal 2 5 4 3 8" xfId="8941" xr:uid="{EBBA33E9-D6FE-4EB0-8C8B-BF5C2ABA1424}"/>
    <cellStyle name="Normal 2 5 4 4" xfId="804" xr:uid="{00000000-0005-0000-0000-000052110000}"/>
    <cellStyle name="Normal 2 5 4 4 2" xfId="3043" xr:uid="{00000000-0005-0000-0000-000053110000}"/>
    <cellStyle name="Normal 2 5 4 4 2 2" xfId="7265" xr:uid="{00000000-0005-0000-0000-000054110000}"/>
    <cellStyle name="Normal 2 5 4 4 2 2 2" xfId="15715" xr:uid="{87999DA8-61D3-4EC5-B8BC-B02957A1719A}"/>
    <cellStyle name="Normal 2 5 4 4 2 3" xfId="11497" xr:uid="{E0B3D447-3EF7-4D4F-9707-83C6F59C62A8}"/>
    <cellStyle name="Normal 2 5 4 4 3" xfId="5120" xr:uid="{00000000-0005-0000-0000-000055110000}"/>
    <cellStyle name="Normal 2 5 4 4 3 2" xfId="13570" xr:uid="{D23D2885-DD0A-49AF-90CD-195260FBE0B6}"/>
    <cellStyle name="Normal 2 5 4 4 4" xfId="9352" xr:uid="{4DD939A4-AAF8-4300-A937-EBA72325EF18}"/>
    <cellStyle name="Normal 2 5 4 5" xfId="1226" xr:uid="{00000000-0005-0000-0000-000056110000}"/>
    <cellStyle name="Normal 2 5 4 5 2" xfId="3456" xr:uid="{00000000-0005-0000-0000-000057110000}"/>
    <cellStyle name="Normal 2 5 4 5 2 2" xfId="7678" xr:uid="{00000000-0005-0000-0000-000058110000}"/>
    <cellStyle name="Normal 2 5 4 5 2 2 2" xfId="16128" xr:uid="{3EAC39C6-5FB9-4FE9-8B51-F9515870B83C}"/>
    <cellStyle name="Normal 2 5 4 5 2 3" xfId="11910" xr:uid="{BA109C41-F8B7-4FDA-B9E9-1C4DEDFD1688}"/>
    <cellStyle name="Normal 2 5 4 5 3" xfId="5533" xr:uid="{00000000-0005-0000-0000-000059110000}"/>
    <cellStyle name="Normal 2 5 4 5 3 2" xfId="13983" xr:uid="{6CF7176A-4A31-43E0-AB4D-E6B1EE61DC2E}"/>
    <cellStyle name="Normal 2 5 4 5 4" xfId="9765" xr:uid="{0086E19C-8240-4594-B422-BC1BE0361EED}"/>
    <cellStyle name="Normal 2 5 4 6" xfId="1639" xr:uid="{00000000-0005-0000-0000-00005A110000}"/>
    <cellStyle name="Normal 2 5 4 6 2" xfId="3869" xr:uid="{00000000-0005-0000-0000-00005B110000}"/>
    <cellStyle name="Normal 2 5 4 6 2 2" xfId="8091" xr:uid="{00000000-0005-0000-0000-00005C110000}"/>
    <cellStyle name="Normal 2 5 4 6 2 2 2" xfId="16541" xr:uid="{BFD5D290-EE68-47C8-A263-45DFF09CD40C}"/>
    <cellStyle name="Normal 2 5 4 6 2 3" xfId="12323" xr:uid="{A1B695F0-78ED-4D01-9BD0-80E1875DE6FA}"/>
    <cellStyle name="Normal 2 5 4 6 3" xfId="5946" xr:uid="{00000000-0005-0000-0000-00005D110000}"/>
    <cellStyle name="Normal 2 5 4 6 3 2" xfId="14396" xr:uid="{859DDB18-7EBE-4F32-9681-89209E631AAB}"/>
    <cellStyle name="Normal 2 5 4 6 4" xfId="10178" xr:uid="{F03F4E33-28B3-4493-B60F-C86A02E08E9F}"/>
    <cellStyle name="Normal 2 5 4 7" xfId="2053" xr:uid="{00000000-0005-0000-0000-00005E110000}"/>
    <cellStyle name="Normal 2 5 4 7 2" xfId="4282" xr:uid="{00000000-0005-0000-0000-00005F110000}"/>
    <cellStyle name="Normal 2 5 4 7 2 2" xfId="8504" xr:uid="{00000000-0005-0000-0000-000060110000}"/>
    <cellStyle name="Normal 2 5 4 7 2 2 2" xfId="16954" xr:uid="{A7DB501A-1548-4A93-A2EE-CF0CDCF24874}"/>
    <cellStyle name="Normal 2 5 4 7 2 3" xfId="12736" xr:uid="{B6F3B0B8-1867-432E-9D5A-B2EB699CBB03}"/>
    <cellStyle name="Normal 2 5 4 7 3" xfId="6359" xr:uid="{00000000-0005-0000-0000-000061110000}"/>
    <cellStyle name="Normal 2 5 4 7 3 2" xfId="14809" xr:uid="{26CF9ABC-CAF6-4804-85F6-736FB613A193}"/>
    <cellStyle name="Normal 2 5 4 7 4" xfId="10591" xr:uid="{BC327E33-A1D4-402D-8236-196EC51DD97D}"/>
    <cellStyle name="Normal 2 5 4 8" xfId="2489" xr:uid="{00000000-0005-0000-0000-000062110000}"/>
    <cellStyle name="Normal 2 5 4 8 2" xfId="6772" xr:uid="{00000000-0005-0000-0000-000063110000}"/>
    <cellStyle name="Normal 2 5 4 8 2 2" xfId="15222" xr:uid="{E55732E5-BBE7-4829-B18E-CA31983C3641}"/>
    <cellStyle name="Normal 2 5 4 8 3" xfId="11004" xr:uid="{E7B5837D-7DC6-4564-BB1B-20433C567102}"/>
    <cellStyle name="Normal 2 5 4 9" xfId="4706" xr:uid="{00000000-0005-0000-0000-000064110000}"/>
    <cellStyle name="Normal 2 5 4 9 2" xfId="13156" xr:uid="{E7C4281D-7E01-4989-9C13-E0932F2AE65A}"/>
    <cellStyle name="Normal 2 5 5" xfId="803" xr:uid="{00000000-0005-0000-0000-000065110000}"/>
    <cellStyle name="Normal 2 5 5 2" xfId="3042" xr:uid="{00000000-0005-0000-0000-000066110000}"/>
    <cellStyle name="Normal 2 5 5 2 2" xfId="7264" xr:uid="{00000000-0005-0000-0000-000067110000}"/>
    <cellStyle name="Normal 2 5 5 2 2 2" xfId="15714" xr:uid="{32FFF85E-14D8-4963-98FA-B88824533A36}"/>
    <cellStyle name="Normal 2 5 5 2 3" xfId="11496" xr:uid="{8B6C4EB9-1708-4F59-92F1-6CF5D4323A7B}"/>
    <cellStyle name="Normal 2 5 5 3" xfId="5119" xr:uid="{00000000-0005-0000-0000-000068110000}"/>
    <cellStyle name="Normal 2 5 5 3 2" xfId="13569" xr:uid="{D983B2B3-9158-4B25-8982-01092AF60FD4}"/>
    <cellStyle name="Normal 2 5 5 4" xfId="9351" xr:uid="{19FE63CA-8D41-4FB9-BD7E-12784C782A36}"/>
    <cellStyle name="Normal 2 5 6" xfId="1225" xr:uid="{00000000-0005-0000-0000-000069110000}"/>
    <cellStyle name="Normal 2 5 6 2" xfId="3455" xr:uid="{00000000-0005-0000-0000-00006A110000}"/>
    <cellStyle name="Normal 2 5 6 2 2" xfId="7677" xr:uid="{00000000-0005-0000-0000-00006B110000}"/>
    <cellStyle name="Normal 2 5 6 2 2 2" xfId="16127" xr:uid="{2C64BC4F-462E-4701-8DBD-5534661F8412}"/>
    <cellStyle name="Normal 2 5 6 2 3" xfId="11909" xr:uid="{3C4D84F2-96CA-40AC-98BF-33444EC4D781}"/>
    <cellStyle name="Normal 2 5 6 3" xfId="5532" xr:uid="{00000000-0005-0000-0000-00006C110000}"/>
    <cellStyle name="Normal 2 5 6 3 2" xfId="13982" xr:uid="{EFE46520-C4BE-4F40-9D0B-0299CCEBE120}"/>
    <cellStyle name="Normal 2 5 6 4" xfId="9764" xr:uid="{10282C32-F8F4-49D4-B1BF-AFF9151AB500}"/>
    <cellStyle name="Normal 2 5 7" xfId="1638" xr:uid="{00000000-0005-0000-0000-00006D110000}"/>
    <cellStyle name="Normal 2 5 7 2" xfId="3868" xr:uid="{00000000-0005-0000-0000-00006E110000}"/>
    <cellStyle name="Normal 2 5 7 2 2" xfId="8090" xr:uid="{00000000-0005-0000-0000-00006F110000}"/>
    <cellStyle name="Normal 2 5 7 2 2 2" xfId="16540" xr:uid="{0F688D43-9D58-4CE8-A6C9-39C2E175E1E4}"/>
    <cellStyle name="Normal 2 5 7 2 3" xfId="12322" xr:uid="{2417938C-DC55-4BC1-8DD2-D1876C06B072}"/>
    <cellStyle name="Normal 2 5 7 3" xfId="5945" xr:uid="{00000000-0005-0000-0000-000070110000}"/>
    <cellStyle name="Normal 2 5 7 3 2" xfId="14395" xr:uid="{6A04A58B-008D-4078-A070-6FAA7B8EC189}"/>
    <cellStyle name="Normal 2 5 7 4" xfId="10177" xr:uid="{2E4279D0-028E-4545-9286-51983C38B00F}"/>
    <cellStyle name="Normal 2 5 8" xfId="2052" xr:uid="{00000000-0005-0000-0000-000071110000}"/>
    <cellStyle name="Normal 2 5 8 2" xfId="4281" xr:uid="{00000000-0005-0000-0000-000072110000}"/>
    <cellStyle name="Normal 2 5 8 2 2" xfId="8503" xr:uid="{00000000-0005-0000-0000-000073110000}"/>
    <cellStyle name="Normal 2 5 8 2 2 2" xfId="16953" xr:uid="{C7B90E4B-9635-42A9-8C6A-F75610532ACF}"/>
    <cellStyle name="Normal 2 5 8 2 3" xfId="12735" xr:uid="{5581A6FB-E53A-45BF-B877-2B86DDA3B176}"/>
    <cellStyle name="Normal 2 5 8 3" xfId="6358" xr:uid="{00000000-0005-0000-0000-000074110000}"/>
    <cellStyle name="Normal 2 5 8 3 2" xfId="14808" xr:uid="{D0E7EED3-9BE7-4508-97FC-FF0EB1F75F7F}"/>
    <cellStyle name="Normal 2 5 8 4" xfId="10590" xr:uid="{1D5BAAF0-0031-44B3-BCE8-E0C2DB7F208A}"/>
    <cellStyle name="Normal 2 5 9" xfId="2488" xr:uid="{00000000-0005-0000-0000-000075110000}"/>
    <cellStyle name="Normal 2 5 9 2" xfId="6771" xr:uid="{00000000-0005-0000-0000-000076110000}"/>
    <cellStyle name="Normal 2 5 9 2 2" xfId="15221" xr:uid="{7092A88C-3DB5-43D5-8AE1-28CD711EBB20}"/>
    <cellStyle name="Normal 2 5 9 3" xfId="11003" xr:uid="{712D774C-6C97-4B7A-BA0F-859C3D0598E1}"/>
    <cellStyle name="Normal 2 6" xfId="322" xr:uid="{00000000-0005-0000-0000-000077110000}"/>
    <cellStyle name="Normal 2 7" xfId="769" xr:uid="{00000000-0005-0000-0000-000078110000}"/>
    <cellStyle name="Normal 2 8" xfId="4495" xr:uid="{00000000-0005-0000-0000-000079110000}"/>
    <cellStyle name="Normal 2 8 2" xfId="12947" xr:uid="{B8622283-9949-4054-A99B-133BACCBDB5A}"/>
    <cellStyle name="Normal 3" xfId="323" xr:uid="{00000000-0005-0000-0000-00007A110000}"/>
    <cellStyle name="Normal 3 2" xfId="324" xr:uid="{00000000-0005-0000-0000-00007B110000}"/>
    <cellStyle name="Normal 3 2 10" xfId="8942" xr:uid="{25502681-AA88-411E-973A-AFDB7917B5FD}"/>
    <cellStyle name="Normal 3 2 2" xfId="325" xr:uid="{00000000-0005-0000-0000-00007C110000}"/>
    <cellStyle name="Normal 3 2 2 2" xfId="810" xr:uid="{00000000-0005-0000-0000-00007D110000}"/>
    <cellStyle name="Normal 3 2 3" xfId="326" xr:uid="{00000000-0005-0000-0000-00007E110000}"/>
    <cellStyle name="Normal 3 2 3 10" xfId="8943" xr:uid="{C0246737-BB2A-47C0-8B05-A79186E1FEE2}"/>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2 2 2" xfId="15722" xr:uid="{6B2DF3CD-5C78-4364-B085-B73480D38B8D}"/>
    <cellStyle name="Normal 3 2 3 2 2 2 2 3" xfId="11504" xr:uid="{618E1FC4-8B67-4633-A056-5CAD4ED234F4}"/>
    <cellStyle name="Normal 3 2 3 2 2 2 3" xfId="5127" xr:uid="{00000000-0005-0000-0000-000084110000}"/>
    <cellStyle name="Normal 3 2 3 2 2 2 3 2" xfId="13577" xr:uid="{192FFFF3-1C12-461E-AD82-6B925B4B1809}"/>
    <cellStyle name="Normal 3 2 3 2 2 2 4" xfId="9359" xr:uid="{3E8F386C-887C-44C2-B04C-5B4BC159F355}"/>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2 2 2" xfId="16135" xr:uid="{C033870C-8CF7-4591-808C-2001ECFFCE8B}"/>
    <cellStyle name="Normal 3 2 3 2 2 3 2 3" xfId="11917" xr:uid="{34FE449C-9543-43DC-A08F-AA29EFFABC69}"/>
    <cellStyle name="Normal 3 2 3 2 2 3 3" xfId="5540" xr:uid="{00000000-0005-0000-0000-000088110000}"/>
    <cellStyle name="Normal 3 2 3 2 2 3 3 2" xfId="13990" xr:uid="{B9EFBFEF-EDFB-4106-9AAF-62FA99A11714}"/>
    <cellStyle name="Normal 3 2 3 2 2 3 4" xfId="9772" xr:uid="{119A66CF-DBDA-4625-AC64-520C5DDC528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2 2 2" xfId="16548" xr:uid="{BD6EB907-0BEC-4977-8AAB-F9E7252D8897}"/>
    <cellStyle name="Normal 3 2 3 2 2 4 2 3" xfId="12330" xr:uid="{2BE28A5A-F7A6-4BDE-A880-36443B735193}"/>
    <cellStyle name="Normal 3 2 3 2 2 4 3" xfId="5953" xr:uid="{00000000-0005-0000-0000-00008C110000}"/>
    <cellStyle name="Normal 3 2 3 2 2 4 3 2" xfId="14403" xr:uid="{78401A1D-F5B7-49B6-94EC-8E433E96E1D5}"/>
    <cellStyle name="Normal 3 2 3 2 2 4 4" xfId="10185" xr:uid="{AAA2AEBF-C79A-464C-A7F1-0E6962A3B0B7}"/>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2 2 2" xfId="16961" xr:uid="{4BF3FD6C-66B0-4E0C-AFF9-AAADEE9B45B4}"/>
    <cellStyle name="Normal 3 2 3 2 2 5 2 3" xfId="12743" xr:uid="{E512CFCE-A12F-4082-9958-9DED01AEFFD6}"/>
    <cellStyle name="Normal 3 2 3 2 2 5 3" xfId="6366" xr:uid="{00000000-0005-0000-0000-000090110000}"/>
    <cellStyle name="Normal 3 2 3 2 2 5 3 2" xfId="14816" xr:uid="{946502A0-C4E7-4B8F-AA28-41CBF9769E67}"/>
    <cellStyle name="Normal 3 2 3 2 2 5 4" xfId="10598" xr:uid="{A0C4AE35-13BF-4DBA-9551-AFB29FA59FBB}"/>
    <cellStyle name="Normal 3 2 3 2 2 6" xfId="2496" xr:uid="{00000000-0005-0000-0000-000091110000}"/>
    <cellStyle name="Normal 3 2 3 2 2 6 2" xfId="6779" xr:uid="{00000000-0005-0000-0000-000092110000}"/>
    <cellStyle name="Normal 3 2 3 2 2 6 2 2" xfId="15229" xr:uid="{CAD9A242-D22F-4BC4-B30B-721C5CA943CD}"/>
    <cellStyle name="Normal 3 2 3 2 2 6 3" xfId="11011" xr:uid="{2CC92782-0E92-4A79-9F24-F43E719BC0A2}"/>
    <cellStyle name="Normal 3 2 3 2 2 7" xfId="4713" xr:uid="{00000000-0005-0000-0000-000093110000}"/>
    <cellStyle name="Normal 3 2 3 2 2 7 2" xfId="13163" xr:uid="{99513ED6-962D-498B-A1D0-C0D8A0B20095}"/>
    <cellStyle name="Normal 3 2 3 2 2 8" xfId="8945" xr:uid="{EF076771-89AE-4A0D-B6F5-20443652BC85}"/>
    <cellStyle name="Normal 3 2 3 2 3" xfId="812" xr:uid="{00000000-0005-0000-0000-000094110000}"/>
    <cellStyle name="Normal 3 2 3 2 3 2" xfId="3049" xr:uid="{00000000-0005-0000-0000-000095110000}"/>
    <cellStyle name="Normal 3 2 3 2 3 2 2" xfId="7271" xr:uid="{00000000-0005-0000-0000-000096110000}"/>
    <cellStyle name="Normal 3 2 3 2 3 2 2 2" xfId="15721" xr:uid="{FF2D60AB-88AF-4DA8-BF5A-B28A0B0181C2}"/>
    <cellStyle name="Normal 3 2 3 2 3 2 3" xfId="11503" xr:uid="{64D3DB1E-D593-4B83-A04A-747AB2DAB8D1}"/>
    <cellStyle name="Normal 3 2 3 2 3 3" xfId="5126" xr:uid="{00000000-0005-0000-0000-000097110000}"/>
    <cellStyle name="Normal 3 2 3 2 3 3 2" xfId="13576" xr:uid="{8100B6FF-3433-49C4-91AD-90DB67BA889D}"/>
    <cellStyle name="Normal 3 2 3 2 3 4" xfId="9358" xr:uid="{EC36F58C-9806-4834-A3F5-57ECE8BBB1A4}"/>
    <cellStyle name="Normal 3 2 3 2 4" xfId="1232" xr:uid="{00000000-0005-0000-0000-000098110000}"/>
    <cellStyle name="Normal 3 2 3 2 4 2" xfId="3462" xr:uid="{00000000-0005-0000-0000-000099110000}"/>
    <cellStyle name="Normal 3 2 3 2 4 2 2" xfId="7684" xr:uid="{00000000-0005-0000-0000-00009A110000}"/>
    <cellStyle name="Normal 3 2 3 2 4 2 2 2" xfId="16134" xr:uid="{C9907565-8F4A-42CC-A4EA-D55C99E63176}"/>
    <cellStyle name="Normal 3 2 3 2 4 2 3" xfId="11916" xr:uid="{BB6D8370-0E8A-4974-9B1B-2E8C6F838032}"/>
    <cellStyle name="Normal 3 2 3 2 4 3" xfId="5539" xr:uid="{00000000-0005-0000-0000-00009B110000}"/>
    <cellStyle name="Normal 3 2 3 2 4 3 2" xfId="13989" xr:uid="{228E7A5B-8163-4A74-85F8-EEF60F332313}"/>
    <cellStyle name="Normal 3 2 3 2 4 4" xfId="9771" xr:uid="{83EADEA6-E361-46A3-9061-9BC4B7574314}"/>
    <cellStyle name="Normal 3 2 3 2 5" xfId="1645" xr:uid="{00000000-0005-0000-0000-00009C110000}"/>
    <cellStyle name="Normal 3 2 3 2 5 2" xfId="3875" xr:uid="{00000000-0005-0000-0000-00009D110000}"/>
    <cellStyle name="Normal 3 2 3 2 5 2 2" xfId="8097" xr:uid="{00000000-0005-0000-0000-00009E110000}"/>
    <cellStyle name="Normal 3 2 3 2 5 2 2 2" xfId="16547" xr:uid="{5E137D83-FD75-4E68-A914-FC44354ACD5D}"/>
    <cellStyle name="Normal 3 2 3 2 5 2 3" xfId="12329" xr:uid="{C489E134-2FAB-4BDC-8409-BCDC27970C7A}"/>
    <cellStyle name="Normal 3 2 3 2 5 3" xfId="5952" xr:uid="{00000000-0005-0000-0000-00009F110000}"/>
    <cellStyle name="Normal 3 2 3 2 5 3 2" xfId="14402" xr:uid="{E76F336F-4533-4F4C-9313-E69EDF6ED0AA}"/>
    <cellStyle name="Normal 3 2 3 2 5 4" xfId="10184" xr:uid="{E36E78A2-F6ED-40B8-9536-1FA6C9E94458}"/>
    <cellStyle name="Normal 3 2 3 2 6" xfId="2059" xr:uid="{00000000-0005-0000-0000-0000A0110000}"/>
    <cellStyle name="Normal 3 2 3 2 6 2" xfId="4288" xr:uid="{00000000-0005-0000-0000-0000A1110000}"/>
    <cellStyle name="Normal 3 2 3 2 6 2 2" xfId="8510" xr:uid="{00000000-0005-0000-0000-0000A2110000}"/>
    <cellStyle name="Normal 3 2 3 2 6 2 2 2" xfId="16960" xr:uid="{8CB9EF4A-5464-4EBF-9CDD-6C0881463F7D}"/>
    <cellStyle name="Normal 3 2 3 2 6 2 3" xfId="12742" xr:uid="{9662D62E-8D2A-4899-8031-F5E4DDE199A0}"/>
    <cellStyle name="Normal 3 2 3 2 6 3" xfId="6365" xr:uid="{00000000-0005-0000-0000-0000A3110000}"/>
    <cellStyle name="Normal 3 2 3 2 6 3 2" xfId="14815" xr:uid="{F7BFE3AA-6646-4053-A3D4-70B6267FC963}"/>
    <cellStyle name="Normal 3 2 3 2 6 4" xfId="10597" xr:uid="{0173798A-B9ED-45E6-9F6D-55C3576BAF39}"/>
    <cellStyle name="Normal 3 2 3 2 7" xfId="2495" xr:uid="{00000000-0005-0000-0000-0000A4110000}"/>
    <cellStyle name="Normal 3 2 3 2 7 2" xfId="6778" xr:uid="{00000000-0005-0000-0000-0000A5110000}"/>
    <cellStyle name="Normal 3 2 3 2 7 2 2" xfId="15228" xr:uid="{99DC8D17-5DB3-4984-9E91-F9029816C2E5}"/>
    <cellStyle name="Normal 3 2 3 2 7 3" xfId="11010" xr:uid="{69D08825-6295-4E5D-AEA3-952DE2494D95}"/>
    <cellStyle name="Normal 3 2 3 2 8" xfId="4712" xr:uid="{00000000-0005-0000-0000-0000A6110000}"/>
    <cellStyle name="Normal 3 2 3 2 8 2" xfId="13162" xr:uid="{8709C14F-93BF-41E8-8F28-B533965C265F}"/>
    <cellStyle name="Normal 3 2 3 2 9" xfId="8944" xr:uid="{5AF0DCC6-FAF2-4B86-BB22-7AF3357400E9}"/>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2 2 2" xfId="15723" xr:uid="{26A8A71B-8B63-4085-A423-85651D1ED9E3}"/>
    <cellStyle name="Normal 3 2 3 3 2 2 3" xfId="11505" xr:uid="{3A5CA35B-DC27-4C0A-B0F1-D9B2BD92F798}"/>
    <cellStyle name="Normal 3 2 3 3 2 3" xfId="5128" xr:uid="{00000000-0005-0000-0000-0000AB110000}"/>
    <cellStyle name="Normal 3 2 3 3 2 3 2" xfId="13578" xr:uid="{5E3B1CBA-C818-46B9-9803-F3B9E613D560}"/>
    <cellStyle name="Normal 3 2 3 3 2 4" xfId="9360" xr:uid="{2923CA65-4370-411D-A638-7BAB5CB462F0}"/>
    <cellStyle name="Normal 3 2 3 3 3" xfId="1234" xr:uid="{00000000-0005-0000-0000-0000AC110000}"/>
    <cellStyle name="Normal 3 2 3 3 3 2" xfId="3464" xr:uid="{00000000-0005-0000-0000-0000AD110000}"/>
    <cellStyle name="Normal 3 2 3 3 3 2 2" xfId="7686" xr:uid="{00000000-0005-0000-0000-0000AE110000}"/>
    <cellStyle name="Normal 3 2 3 3 3 2 2 2" xfId="16136" xr:uid="{DE122345-AA2C-456E-994A-EC122A72BF7A}"/>
    <cellStyle name="Normal 3 2 3 3 3 2 3" xfId="11918" xr:uid="{CED6287C-4A49-4003-BD34-4C5A8F017B4E}"/>
    <cellStyle name="Normal 3 2 3 3 3 3" xfId="5541" xr:uid="{00000000-0005-0000-0000-0000AF110000}"/>
    <cellStyle name="Normal 3 2 3 3 3 3 2" xfId="13991" xr:uid="{33307FB0-90E3-4887-B9C7-93D9E8098D20}"/>
    <cellStyle name="Normal 3 2 3 3 3 4" xfId="9773" xr:uid="{60D43BCC-F85D-43E5-9085-86A78EDAFF81}"/>
    <cellStyle name="Normal 3 2 3 3 4" xfId="1647" xr:uid="{00000000-0005-0000-0000-0000B0110000}"/>
    <cellStyle name="Normal 3 2 3 3 4 2" xfId="3877" xr:uid="{00000000-0005-0000-0000-0000B1110000}"/>
    <cellStyle name="Normal 3 2 3 3 4 2 2" xfId="8099" xr:uid="{00000000-0005-0000-0000-0000B2110000}"/>
    <cellStyle name="Normal 3 2 3 3 4 2 2 2" xfId="16549" xr:uid="{EC49199B-2D7F-40C8-9A04-F0A2154B49A7}"/>
    <cellStyle name="Normal 3 2 3 3 4 2 3" xfId="12331" xr:uid="{22A5BDC8-80DD-48FD-851E-D545508AFDC2}"/>
    <cellStyle name="Normal 3 2 3 3 4 3" xfId="5954" xr:uid="{00000000-0005-0000-0000-0000B3110000}"/>
    <cellStyle name="Normal 3 2 3 3 4 3 2" xfId="14404" xr:uid="{3F79B60F-DD5D-43DE-8D22-BF013ED1FB23}"/>
    <cellStyle name="Normal 3 2 3 3 4 4" xfId="10186" xr:uid="{E9690D67-474B-4873-9308-2248744D0CE9}"/>
    <cellStyle name="Normal 3 2 3 3 5" xfId="2061" xr:uid="{00000000-0005-0000-0000-0000B4110000}"/>
    <cellStyle name="Normal 3 2 3 3 5 2" xfId="4290" xr:uid="{00000000-0005-0000-0000-0000B5110000}"/>
    <cellStyle name="Normal 3 2 3 3 5 2 2" xfId="8512" xr:uid="{00000000-0005-0000-0000-0000B6110000}"/>
    <cellStyle name="Normal 3 2 3 3 5 2 2 2" xfId="16962" xr:uid="{466FCEC2-288D-4FD4-848F-4BB7705307F0}"/>
    <cellStyle name="Normal 3 2 3 3 5 2 3" xfId="12744" xr:uid="{A6D86F85-D132-4645-B7D9-C87D012F57AD}"/>
    <cellStyle name="Normal 3 2 3 3 5 3" xfId="6367" xr:uid="{00000000-0005-0000-0000-0000B7110000}"/>
    <cellStyle name="Normal 3 2 3 3 5 3 2" xfId="14817" xr:uid="{B934AE26-CA52-4CA1-B3FB-26BC360080A5}"/>
    <cellStyle name="Normal 3 2 3 3 5 4" xfId="10599" xr:uid="{EC6B5E3E-DF6B-4619-982A-FFEE4604ABA1}"/>
    <cellStyle name="Normal 3 2 3 3 6" xfId="2497" xr:uid="{00000000-0005-0000-0000-0000B8110000}"/>
    <cellStyle name="Normal 3 2 3 3 6 2" xfId="6780" xr:uid="{00000000-0005-0000-0000-0000B9110000}"/>
    <cellStyle name="Normal 3 2 3 3 6 2 2" xfId="15230" xr:uid="{213CC29C-A043-422D-8141-B206C6023695}"/>
    <cellStyle name="Normal 3 2 3 3 6 3" xfId="11012" xr:uid="{48C8A223-7715-448A-AFC4-C4883C48FFB7}"/>
    <cellStyle name="Normal 3 2 3 3 7" xfId="4714" xr:uid="{00000000-0005-0000-0000-0000BA110000}"/>
    <cellStyle name="Normal 3 2 3 3 7 2" xfId="13164" xr:uid="{2971EB36-054B-4D70-BEC6-C736FD86CBAB}"/>
    <cellStyle name="Normal 3 2 3 3 8" xfId="8946" xr:uid="{E4B0E1F1-C5DA-4F94-8D2C-6ED8C4CC37CE}"/>
    <cellStyle name="Normal 3 2 3 4" xfId="811" xr:uid="{00000000-0005-0000-0000-0000BB110000}"/>
    <cellStyle name="Normal 3 2 3 4 2" xfId="3048" xr:uid="{00000000-0005-0000-0000-0000BC110000}"/>
    <cellStyle name="Normal 3 2 3 4 2 2" xfId="7270" xr:uid="{00000000-0005-0000-0000-0000BD110000}"/>
    <cellStyle name="Normal 3 2 3 4 2 2 2" xfId="15720" xr:uid="{AB5259B2-72C5-461C-8E3C-57939B9D8C4A}"/>
    <cellStyle name="Normal 3 2 3 4 2 3" xfId="11502" xr:uid="{3D9FE3FE-F0C6-4183-924A-A4B09BA6A4AB}"/>
    <cellStyle name="Normal 3 2 3 4 3" xfId="5125" xr:uid="{00000000-0005-0000-0000-0000BE110000}"/>
    <cellStyle name="Normal 3 2 3 4 3 2" xfId="13575" xr:uid="{E9B29C5A-7A95-417C-887F-4A651AD340F9}"/>
    <cellStyle name="Normal 3 2 3 4 4" xfId="9357" xr:uid="{ABF01BAD-B70F-42AD-80BE-196914F7AED2}"/>
    <cellStyle name="Normal 3 2 3 5" xfId="1231" xr:uid="{00000000-0005-0000-0000-0000BF110000}"/>
    <cellStyle name="Normal 3 2 3 5 2" xfId="3461" xr:uid="{00000000-0005-0000-0000-0000C0110000}"/>
    <cellStyle name="Normal 3 2 3 5 2 2" xfId="7683" xr:uid="{00000000-0005-0000-0000-0000C1110000}"/>
    <cellStyle name="Normal 3 2 3 5 2 2 2" xfId="16133" xr:uid="{A1111B24-05FB-4E75-811F-365046DC84EA}"/>
    <cellStyle name="Normal 3 2 3 5 2 3" xfId="11915" xr:uid="{B51E3D92-0AB0-4F31-863A-9548D38C2BFB}"/>
    <cellStyle name="Normal 3 2 3 5 3" xfId="5538" xr:uid="{00000000-0005-0000-0000-0000C2110000}"/>
    <cellStyle name="Normal 3 2 3 5 3 2" xfId="13988" xr:uid="{579B4709-C5B9-4A05-AF52-CD18D230F32E}"/>
    <cellStyle name="Normal 3 2 3 5 4" xfId="9770" xr:uid="{339CDE82-F081-473D-A155-8C27B11F0FAD}"/>
    <cellStyle name="Normal 3 2 3 6" xfId="1644" xr:uid="{00000000-0005-0000-0000-0000C3110000}"/>
    <cellStyle name="Normal 3 2 3 6 2" xfId="3874" xr:uid="{00000000-0005-0000-0000-0000C4110000}"/>
    <cellStyle name="Normal 3 2 3 6 2 2" xfId="8096" xr:uid="{00000000-0005-0000-0000-0000C5110000}"/>
    <cellStyle name="Normal 3 2 3 6 2 2 2" xfId="16546" xr:uid="{449BA4CD-DCDB-4456-864A-F9D1A3E75946}"/>
    <cellStyle name="Normal 3 2 3 6 2 3" xfId="12328" xr:uid="{01BCB427-A407-45FF-A115-B663A59FCE00}"/>
    <cellStyle name="Normal 3 2 3 6 3" xfId="5951" xr:uid="{00000000-0005-0000-0000-0000C6110000}"/>
    <cellStyle name="Normal 3 2 3 6 3 2" xfId="14401" xr:uid="{34443507-6161-4E4A-839C-8242B9E18DFF}"/>
    <cellStyle name="Normal 3 2 3 6 4" xfId="10183" xr:uid="{93A12819-19B3-4BE6-92EB-ECE90F6BC31C}"/>
    <cellStyle name="Normal 3 2 3 7" xfId="2058" xr:uid="{00000000-0005-0000-0000-0000C7110000}"/>
    <cellStyle name="Normal 3 2 3 7 2" xfId="4287" xr:uid="{00000000-0005-0000-0000-0000C8110000}"/>
    <cellStyle name="Normal 3 2 3 7 2 2" xfId="8509" xr:uid="{00000000-0005-0000-0000-0000C9110000}"/>
    <cellStyle name="Normal 3 2 3 7 2 2 2" xfId="16959" xr:uid="{B1AD8953-13EF-4112-9E02-FDCCC5E99783}"/>
    <cellStyle name="Normal 3 2 3 7 2 3" xfId="12741" xr:uid="{078E12C0-921A-4B1D-BA5C-7671EB105469}"/>
    <cellStyle name="Normal 3 2 3 7 3" xfId="6364" xr:uid="{00000000-0005-0000-0000-0000CA110000}"/>
    <cellStyle name="Normal 3 2 3 7 3 2" xfId="14814" xr:uid="{B9931033-E222-43EA-946A-1BC699E562BC}"/>
    <cellStyle name="Normal 3 2 3 7 4" xfId="10596" xr:uid="{96272588-2489-4A36-ACE4-1B1CAD3EF704}"/>
    <cellStyle name="Normal 3 2 3 8" xfId="2494" xr:uid="{00000000-0005-0000-0000-0000CB110000}"/>
    <cellStyle name="Normal 3 2 3 8 2" xfId="6777" xr:uid="{00000000-0005-0000-0000-0000CC110000}"/>
    <cellStyle name="Normal 3 2 3 8 2 2" xfId="15227" xr:uid="{0DF74850-D204-4E19-9232-1AC802EF1D7F}"/>
    <cellStyle name="Normal 3 2 3 8 3" xfId="11009" xr:uid="{E80EA74D-90C4-4E9F-BF6B-9E622814F6E5}"/>
    <cellStyle name="Normal 3 2 3 9" xfId="4711" xr:uid="{00000000-0005-0000-0000-0000CD110000}"/>
    <cellStyle name="Normal 3 2 3 9 2" xfId="13161" xr:uid="{CD000FA6-E27C-41CD-8F42-35C29E50CBCD}"/>
    <cellStyle name="Normal 3 2 4" xfId="809" xr:uid="{00000000-0005-0000-0000-0000CE110000}"/>
    <cellStyle name="Normal 3 2 4 2" xfId="3047" xr:uid="{00000000-0005-0000-0000-0000CF110000}"/>
    <cellStyle name="Normal 3 2 4 2 2" xfId="7269" xr:uid="{00000000-0005-0000-0000-0000D0110000}"/>
    <cellStyle name="Normal 3 2 4 2 2 2" xfId="15719" xr:uid="{07BA2FBF-6681-4C55-9626-4600FE1A5699}"/>
    <cellStyle name="Normal 3 2 4 2 3" xfId="11501" xr:uid="{5B3D5B5A-1FC0-4F32-AA62-8CD7F16A4E9E}"/>
    <cellStyle name="Normal 3 2 4 3" xfId="5124" xr:uid="{00000000-0005-0000-0000-0000D1110000}"/>
    <cellStyle name="Normal 3 2 4 3 2" xfId="13574" xr:uid="{E8615D20-FCB1-4DBB-A895-E4F0C03EA8D0}"/>
    <cellStyle name="Normal 3 2 4 4" xfId="9356" xr:uid="{E5E685FC-5207-4969-932C-B9C9D1EB87FB}"/>
    <cellStyle name="Normal 3 2 5" xfId="1230" xr:uid="{00000000-0005-0000-0000-0000D2110000}"/>
    <cellStyle name="Normal 3 2 5 2" xfId="3460" xr:uid="{00000000-0005-0000-0000-0000D3110000}"/>
    <cellStyle name="Normal 3 2 5 2 2" xfId="7682" xr:uid="{00000000-0005-0000-0000-0000D4110000}"/>
    <cellStyle name="Normal 3 2 5 2 2 2" xfId="16132" xr:uid="{BC181D46-C149-408B-9814-E33D064BC481}"/>
    <cellStyle name="Normal 3 2 5 2 3" xfId="11914" xr:uid="{A1BF8617-26A1-4F7D-ACFE-B27BA2844D35}"/>
    <cellStyle name="Normal 3 2 5 3" xfId="5537" xr:uid="{00000000-0005-0000-0000-0000D5110000}"/>
    <cellStyle name="Normal 3 2 5 3 2" xfId="13987" xr:uid="{87097E66-4F9F-443D-BF42-2C4FB9D9CF8E}"/>
    <cellStyle name="Normal 3 2 5 4" xfId="9769" xr:uid="{5181D85C-865E-405F-97F1-C53679D982F6}"/>
    <cellStyle name="Normal 3 2 6" xfId="1643" xr:uid="{00000000-0005-0000-0000-0000D6110000}"/>
    <cellStyle name="Normal 3 2 6 2" xfId="3873" xr:uid="{00000000-0005-0000-0000-0000D7110000}"/>
    <cellStyle name="Normal 3 2 6 2 2" xfId="8095" xr:uid="{00000000-0005-0000-0000-0000D8110000}"/>
    <cellStyle name="Normal 3 2 6 2 2 2" xfId="16545" xr:uid="{E29FF26E-496F-4CF2-B7CE-D6C686AC2423}"/>
    <cellStyle name="Normal 3 2 6 2 3" xfId="12327" xr:uid="{D15C7131-9129-4283-9F45-0B41EA953A50}"/>
    <cellStyle name="Normal 3 2 6 3" xfId="5950" xr:uid="{00000000-0005-0000-0000-0000D9110000}"/>
    <cellStyle name="Normal 3 2 6 3 2" xfId="14400" xr:uid="{A88149E8-F829-4E5C-A636-6584537CE14C}"/>
    <cellStyle name="Normal 3 2 6 4" xfId="10182" xr:uid="{CF92E824-0279-4E33-9A36-C9474F18F6AF}"/>
    <cellStyle name="Normal 3 2 7" xfId="2057" xr:uid="{00000000-0005-0000-0000-0000DA110000}"/>
    <cellStyle name="Normal 3 2 7 2" xfId="4286" xr:uid="{00000000-0005-0000-0000-0000DB110000}"/>
    <cellStyle name="Normal 3 2 7 2 2" xfId="8508" xr:uid="{00000000-0005-0000-0000-0000DC110000}"/>
    <cellStyle name="Normal 3 2 7 2 2 2" xfId="16958" xr:uid="{3160EA38-F3C6-482D-8757-E57D0ADFF702}"/>
    <cellStyle name="Normal 3 2 7 2 3" xfId="12740" xr:uid="{26C90B5B-811A-4CE1-A467-E298BC2BB8F5}"/>
    <cellStyle name="Normal 3 2 7 3" xfId="6363" xr:uid="{00000000-0005-0000-0000-0000DD110000}"/>
    <cellStyle name="Normal 3 2 7 3 2" xfId="14813" xr:uid="{8D4DC9ED-E2B5-4CE7-AA7C-785DED3DB6DF}"/>
    <cellStyle name="Normal 3 2 7 4" xfId="10595" xr:uid="{189B1E72-303B-49CE-9273-610917823492}"/>
    <cellStyle name="Normal 3 2 8" xfId="2493" xr:uid="{00000000-0005-0000-0000-0000DE110000}"/>
    <cellStyle name="Normal 3 2 8 2" xfId="6776" xr:uid="{00000000-0005-0000-0000-0000DF110000}"/>
    <cellStyle name="Normal 3 2 8 2 2" xfId="15226" xr:uid="{2BEA96BD-67D3-4D01-BB31-01D6303D55AE}"/>
    <cellStyle name="Normal 3 2 8 3" xfId="11008" xr:uid="{2885F78B-2EBD-4088-B484-5FF2D97CB467}"/>
    <cellStyle name="Normal 3 2 9" xfId="4710" xr:uid="{00000000-0005-0000-0000-0000E0110000}"/>
    <cellStyle name="Normal 3 2 9 2" xfId="13160" xr:uid="{729EF60C-9989-43E8-B589-230E1A4769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10" xfId="8947" xr:uid="{97C36657-C448-424B-9DFE-EC97AFEF07F2}"/>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2 2 2" xfId="16963" xr:uid="{6BB64652-7511-41D1-9530-5BE8A2669B22}"/>
    <cellStyle name="Normal 4 2 2 10 2 3" xfId="12745" xr:uid="{A0CF17B3-A85F-46C9-A8CA-0EB87A0BEBE7}"/>
    <cellStyle name="Normal 4 2 2 10 3" xfId="6368" xr:uid="{00000000-0005-0000-0000-0000ED110000}"/>
    <cellStyle name="Normal 4 2 2 10 3 2" xfId="14818" xr:uid="{C75A3574-81F7-4234-BC30-08AE8F95D188}"/>
    <cellStyle name="Normal 4 2 2 10 4" xfId="10600" xr:uid="{FF32B689-3B01-4BFA-8926-D2C8C22437AF}"/>
    <cellStyle name="Normal 4 2 2 11" xfId="2498" xr:uid="{00000000-0005-0000-0000-0000EE110000}"/>
    <cellStyle name="Normal 4 2 2 11 2" xfId="6781" xr:uid="{00000000-0005-0000-0000-0000EF110000}"/>
    <cellStyle name="Normal 4 2 2 11 2 2" xfId="15231" xr:uid="{8B41D70C-2A68-4271-96D3-0866DCA793A2}"/>
    <cellStyle name="Normal 4 2 2 11 3" xfId="11013" xr:uid="{0A1192B3-E032-4B28-A089-9634D75F14A9}"/>
    <cellStyle name="Normal 4 2 2 12" xfId="4716" xr:uid="{00000000-0005-0000-0000-0000F0110000}"/>
    <cellStyle name="Normal 4 2 2 12 2" xfId="13166" xr:uid="{BAB52C37-2F53-4030-9AF3-2E644199A71D}"/>
    <cellStyle name="Normal 4 2 2 13" xfId="8948" xr:uid="{3C259E5E-1CFE-4471-98A8-46982D291E47}"/>
    <cellStyle name="Normal 4 2 2 2" xfId="338" xr:uid="{00000000-0005-0000-0000-0000F1110000}"/>
    <cellStyle name="Normal 4 2 2 3" xfId="339" xr:uid="{00000000-0005-0000-0000-0000F2110000}"/>
    <cellStyle name="Normal 4 2 2 3 10" xfId="4717" xr:uid="{00000000-0005-0000-0000-0000F3110000}"/>
    <cellStyle name="Normal 4 2 2 3 10 2" xfId="13167" xr:uid="{3A76693D-AC14-4DB1-BD88-03F42295743C}"/>
    <cellStyle name="Normal 4 2 2 3 11" xfId="8949" xr:uid="{4A7E79CF-1DD1-4991-857F-A93601D274DF}"/>
    <cellStyle name="Normal 4 2 2 3 2" xfId="340" xr:uid="{00000000-0005-0000-0000-0000F4110000}"/>
    <cellStyle name="Normal 4 2 2 3 2 10" xfId="8950" xr:uid="{C5C9A365-C64C-4939-B812-110AE14A36F1}"/>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2 2 2" xfId="15728" xr:uid="{93565D94-D700-4EF3-A2DF-1A13B88DB758}"/>
    <cellStyle name="Normal 4 2 2 3 2 2 2 2 2 3" xfId="11510" xr:uid="{CD550204-17EA-48D8-A548-C74AC0A72589}"/>
    <cellStyle name="Normal 4 2 2 3 2 2 2 2 3" xfId="5133" xr:uid="{00000000-0005-0000-0000-0000FA110000}"/>
    <cellStyle name="Normal 4 2 2 3 2 2 2 2 3 2" xfId="13583" xr:uid="{7C49CF5E-2919-413F-998E-5B41FFDE8650}"/>
    <cellStyle name="Normal 4 2 2 3 2 2 2 2 4" xfId="9365" xr:uid="{7727A3F7-9EDB-4493-B493-B9623464707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2 2 2" xfId="16141" xr:uid="{4D154B67-8B99-42AF-B524-AE5B67D31036}"/>
    <cellStyle name="Normal 4 2 2 3 2 2 2 3 2 3" xfId="11923" xr:uid="{31BE6F00-084B-4DBB-936F-69C507A3755A}"/>
    <cellStyle name="Normal 4 2 2 3 2 2 2 3 3" xfId="5546" xr:uid="{00000000-0005-0000-0000-0000FE110000}"/>
    <cellStyle name="Normal 4 2 2 3 2 2 2 3 3 2" xfId="13996" xr:uid="{FC699D77-99A0-4CA0-8F74-2B11E4742386}"/>
    <cellStyle name="Normal 4 2 2 3 2 2 2 3 4" xfId="9778" xr:uid="{DD02BF14-E105-42FD-BD68-B732A06DD316}"/>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2 2 2" xfId="16554" xr:uid="{5EFAAC5E-05EE-448F-9D99-EE6C5C880FE5}"/>
    <cellStyle name="Normal 4 2 2 3 2 2 2 4 2 3" xfId="12336" xr:uid="{B6CB6286-E85E-4DB4-8239-1BD777B0AC18}"/>
    <cellStyle name="Normal 4 2 2 3 2 2 2 4 3" xfId="5959" xr:uid="{00000000-0005-0000-0000-000002120000}"/>
    <cellStyle name="Normal 4 2 2 3 2 2 2 4 3 2" xfId="14409" xr:uid="{55E22C4A-EBE6-4C62-81F7-A7196F5EE025}"/>
    <cellStyle name="Normal 4 2 2 3 2 2 2 4 4" xfId="10191" xr:uid="{11613A48-1421-4B57-8995-FA97A2D028F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2 2 2" xfId="16967" xr:uid="{2C5BA886-9245-420D-AA8F-6F711F72BB4C}"/>
    <cellStyle name="Normal 4 2 2 3 2 2 2 5 2 3" xfId="12749" xr:uid="{FB6517D4-EAAA-41C3-A407-E096A3163F35}"/>
    <cellStyle name="Normal 4 2 2 3 2 2 2 5 3" xfId="6372" xr:uid="{00000000-0005-0000-0000-000006120000}"/>
    <cellStyle name="Normal 4 2 2 3 2 2 2 5 3 2" xfId="14822" xr:uid="{5D8A5D99-2E9B-4514-9842-ECB95DF9525D}"/>
    <cellStyle name="Normal 4 2 2 3 2 2 2 5 4" xfId="10604" xr:uid="{A685116A-6D03-4FDA-9718-9568EBA1D42B}"/>
    <cellStyle name="Normal 4 2 2 3 2 2 2 6" xfId="2502" xr:uid="{00000000-0005-0000-0000-000007120000}"/>
    <cellStyle name="Normal 4 2 2 3 2 2 2 6 2" xfId="6785" xr:uid="{00000000-0005-0000-0000-000008120000}"/>
    <cellStyle name="Normal 4 2 2 3 2 2 2 6 2 2" xfId="15235" xr:uid="{1FFBE44A-6C65-40FB-8B7B-13F2E9A6E682}"/>
    <cellStyle name="Normal 4 2 2 3 2 2 2 6 3" xfId="11017" xr:uid="{BE526C48-8FCE-4761-94AF-921312C76570}"/>
    <cellStyle name="Normal 4 2 2 3 2 2 2 7" xfId="4720" xr:uid="{00000000-0005-0000-0000-000009120000}"/>
    <cellStyle name="Normal 4 2 2 3 2 2 2 7 2" xfId="13170" xr:uid="{9889AD3D-25CD-444F-AEB5-90DB0131C61C}"/>
    <cellStyle name="Normal 4 2 2 3 2 2 2 8" xfId="8952" xr:uid="{13A94F47-D50C-48EC-9484-7D8126D27078}"/>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2 2 2" xfId="15727" xr:uid="{3AC59EBE-53F5-4417-A135-CDED418ECAD5}"/>
    <cellStyle name="Normal 4 2 2 3 2 2 3 2 3" xfId="11509" xr:uid="{11FF7206-9704-412C-A591-A27D1223EBF6}"/>
    <cellStyle name="Normal 4 2 2 3 2 2 3 3" xfId="5132" xr:uid="{00000000-0005-0000-0000-00000D120000}"/>
    <cellStyle name="Normal 4 2 2 3 2 2 3 3 2" xfId="13582" xr:uid="{BA9E3DAF-F793-42E7-8DD5-088979F7DB8C}"/>
    <cellStyle name="Normal 4 2 2 3 2 2 3 4" xfId="9364" xr:uid="{E8444ACE-082F-41A3-8543-FA9BFB5AE91D}"/>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2 2 2" xfId="16140" xr:uid="{F1A7C1DD-948C-460B-8411-3AD7E41371DC}"/>
    <cellStyle name="Normal 4 2 2 3 2 2 4 2 3" xfId="11922" xr:uid="{17742CC3-CCA6-45FD-93F0-6B46B5542053}"/>
    <cellStyle name="Normal 4 2 2 3 2 2 4 3" xfId="5545" xr:uid="{00000000-0005-0000-0000-000011120000}"/>
    <cellStyle name="Normal 4 2 2 3 2 2 4 3 2" xfId="13995" xr:uid="{BDDB4C1F-B97F-48FD-8664-1D45C24779A7}"/>
    <cellStyle name="Normal 4 2 2 3 2 2 4 4" xfId="9777" xr:uid="{6E294C4C-AEAF-4910-ADA0-768FD36C8156}"/>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2 2 2" xfId="16553" xr:uid="{FC630688-1064-4279-BD96-060E0A45B6FE}"/>
    <cellStyle name="Normal 4 2 2 3 2 2 5 2 3" xfId="12335" xr:uid="{B72D3FF8-8B2C-4888-9881-32AD9DBEAFEA}"/>
    <cellStyle name="Normal 4 2 2 3 2 2 5 3" xfId="5958" xr:uid="{00000000-0005-0000-0000-000015120000}"/>
    <cellStyle name="Normal 4 2 2 3 2 2 5 3 2" xfId="14408" xr:uid="{E43A3929-9C6A-4F22-AEF7-479FFDD7ED8A}"/>
    <cellStyle name="Normal 4 2 2 3 2 2 5 4" xfId="10190" xr:uid="{153C331F-772E-45A2-9DFF-A4C048AD3F19}"/>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2 2 2" xfId="16966" xr:uid="{877F70AF-5522-4199-841B-9A758E56CB3F}"/>
    <cellStyle name="Normal 4 2 2 3 2 2 6 2 3" xfId="12748" xr:uid="{4561BA8C-980F-4AF5-8817-86FB53994255}"/>
    <cellStyle name="Normal 4 2 2 3 2 2 6 3" xfId="6371" xr:uid="{00000000-0005-0000-0000-000019120000}"/>
    <cellStyle name="Normal 4 2 2 3 2 2 6 3 2" xfId="14821" xr:uid="{E1046755-4B57-4BD5-957E-97753F62363E}"/>
    <cellStyle name="Normal 4 2 2 3 2 2 6 4" xfId="10603" xr:uid="{99DFE0A3-ED18-4D23-BB4F-F0A7AD37E8FA}"/>
    <cellStyle name="Normal 4 2 2 3 2 2 7" xfId="2501" xr:uid="{00000000-0005-0000-0000-00001A120000}"/>
    <cellStyle name="Normal 4 2 2 3 2 2 7 2" xfId="6784" xr:uid="{00000000-0005-0000-0000-00001B120000}"/>
    <cellStyle name="Normal 4 2 2 3 2 2 7 2 2" xfId="15234" xr:uid="{05CA41D8-0FD5-40F8-9673-A20FEBA043FE}"/>
    <cellStyle name="Normal 4 2 2 3 2 2 7 3" xfId="11016" xr:uid="{C4D41155-B707-43E7-A33A-8C35E06370C1}"/>
    <cellStyle name="Normal 4 2 2 3 2 2 8" xfId="4719" xr:uid="{00000000-0005-0000-0000-00001C120000}"/>
    <cellStyle name="Normal 4 2 2 3 2 2 8 2" xfId="13169" xr:uid="{853DE1A7-D68C-47A9-B72C-7AAF211E4E09}"/>
    <cellStyle name="Normal 4 2 2 3 2 2 9" xfId="8951" xr:uid="{33D8C324-2676-49B1-94C5-7E9F7C141338}"/>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2 2 2" xfId="15729" xr:uid="{73EABD75-4F30-4621-A9A2-F08FCE972C16}"/>
    <cellStyle name="Normal 4 2 2 3 2 3 2 2 3" xfId="11511" xr:uid="{9AF3F9B3-3553-4DC1-A272-D35055FE46D3}"/>
    <cellStyle name="Normal 4 2 2 3 2 3 2 3" xfId="5134" xr:uid="{00000000-0005-0000-0000-000021120000}"/>
    <cellStyle name="Normal 4 2 2 3 2 3 2 3 2" xfId="13584" xr:uid="{04D53F1B-8420-4EA9-8A92-ECBDA57D5851}"/>
    <cellStyle name="Normal 4 2 2 3 2 3 2 4" xfId="9366" xr:uid="{808AB276-BE86-4559-9FC9-AA67C77C0C22}"/>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2 2 2" xfId="16142" xr:uid="{27427DEB-7394-48EB-A6E7-6B378B9EED1A}"/>
    <cellStyle name="Normal 4 2 2 3 2 3 3 2 3" xfId="11924" xr:uid="{E4665BC1-7759-49A5-B288-BBFF2F1F6224}"/>
    <cellStyle name="Normal 4 2 2 3 2 3 3 3" xfId="5547" xr:uid="{00000000-0005-0000-0000-000025120000}"/>
    <cellStyle name="Normal 4 2 2 3 2 3 3 3 2" xfId="13997" xr:uid="{4C907941-7427-4836-85C6-2D93196E422B}"/>
    <cellStyle name="Normal 4 2 2 3 2 3 3 4" xfId="9779" xr:uid="{850D7EB8-28C9-4977-A7F0-BE69F1BBBBA2}"/>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2 2 2" xfId="16555" xr:uid="{3A8F36EE-7963-42F9-AEF8-614FB7EFB24E}"/>
    <cellStyle name="Normal 4 2 2 3 2 3 4 2 3" xfId="12337" xr:uid="{764CD37F-1858-4035-82BB-7D80081505EF}"/>
    <cellStyle name="Normal 4 2 2 3 2 3 4 3" xfId="5960" xr:uid="{00000000-0005-0000-0000-000029120000}"/>
    <cellStyle name="Normal 4 2 2 3 2 3 4 3 2" xfId="14410" xr:uid="{6074A21B-428F-4391-8EFD-68F216BD339D}"/>
    <cellStyle name="Normal 4 2 2 3 2 3 4 4" xfId="10192" xr:uid="{54C681A8-1DD9-40A1-B367-9BCBE42DF8F4}"/>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2 2 2" xfId="16968" xr:uid="{C19C4B2D-A86F-4B23-8047-DE34BADEF9FA}"/>
    <cellStyle name="Normal 4 2 2 3 2 3 5 2 3" xfId="12750" xr:uid="{993908FE-D6D3-4B48-9ADD-7EC51195CFE7}"/>
    <cellStyle name="Normal 4 2 2 3 2 3 5 3" xfId="6373" xr:uid="{00000000-0005-0000-0000-00002D120000}"/>
    <cellStyle name="Normal 4 2 2 3 2 3 5 3 2" xfId="14823" xr:uid="{A8AAE2BD-410B-4226-9D3E-D3557C582CC4}"/>
    <cellStyle name="Normal 4 2 2 3 2 3 5 4" xfId="10605" xr:uid="{7DFD986C-D5CB-4C2E-854F-413498391D7A}"/>
    <cellStyle name="Normal 4 2 2 3 2 3 6" xfId="2503" xr:uid="{00000000-0005-0000-0000-00002E120000}"/>
    <cellStyle name="Normal 4 2 2 3 2 3 6 2" xfId="6786" xr:uid="{00000000-0005-0000-0000-00002F120000}"/>
    <cellStyle name="Normal 4 2 2 3 2 3 6 2 2" xfId="15236" xr:uid="{4B9AB244-A3FB-4D3F-B5B4-334C8D6946D9}"/>
    <cellStyle name="Normal 4 2 2 3 2 3 6 3" xfId="11018" xr:uid="{FE10BF3B-300B-416B-BBFE-46E81E124AC6}"/>
    <cellStyle name="Normal 4 2 2 3 2 3 7" xfId="4721" xr:uid="{00000000-0005-0000-0000-000030120000}"/>
    <cellStyle name="Normal 4 2 2 3 2 3 7 2" xfId="13171" xr:uid="{2593C893-D5B2-4AD7-A7F8-A3AEEE5E7CC4}"/>
    <cellStyle name="Normal 4 2 2 3 2 3 8" xfId="8953" xr:uid="{A64B3FC9-4755-4E12-8492-39E25E2E36A5}"/>
    <cellStyle name="Normal 4 2 2 3 2 4" xfId="817" xr:uid="{00000000-0005-0000-0000-000031120000}"/>
    <cellStyle name="Normal 4 2 2 3 2 4 2" xfId="3054" xr:uid="{00000000-0005-0000-0000-000032120000}"/>
    <cellStyle name="Normal 4 2 2 3 2 4 2 2" xfId="7276" xr:uid="{00000000-0005-0000-0000-000033120000}"/>
    <cellStyle name="Normal 4 2 2 3 2 4 2 2 2" xfId="15726" xr:uid="{E41DFC9B-6143-42F1-8AE5-B3DF79017AD4}"/>
    <cellStyle name="Normal 4 2 2 3 2 4 2 3" xfId="11508" xr:uid="{C4F17811-5936-4737-B7A1-746A9308F12E}"/>
    <cellStyle name="Normal 4 2 2 3 2 4 3" xfId="5131" xr:uid="{00000000-0005-0000-0000-000034120000}"/>
    <cellStyle name="Normal 4 2 2 3 2 4 3 2" xfId="13581" xr:uid="{BB8E617F-007A-494D-A242-B80A265E3BF8}"/>
    <cellStyle name="Normal 4 2 2 3 2 4 4" xfId="9363" xr:uid="{C4C72787-F7F5-488C-84E0-2E50E79A7248}"/>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2 2 2" xfId="16139" xr:uid="{492F3AE9-45E8-4992-8B91-FB05A172449C}"/>
    <cellStyle name="Normal 4 2 2 3 2 5 2 3" xfId="11921" xr:uid="{B809A6B7-93E3-48B7-AC4D-6A694586B9D3}"/>
    <cellStyle name="Normal 4 2 2 3 2 5 3" xfId="5544" xr:uid="{00000000-0005-0000-0000-000038120000}"/>
    <cellStyle name="Normal 4 2 2 3 2 5 3 2" xfId="13994" xr:uid="{3F51DDA2-A112-4004-B57E-5F7417A5D120}"/>
    <cellStyle name="Normal 4 2 2 3 2 5 4" xfId="9776" xr:uid="{D7066070-272D-4E21-B0B6-A94C153E3253}"/>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2 2 2" xfId="16552" xr:uid="{D25E3712-3C0C-446B-AA21-DB14CC8D11E0}"/>
    <cellStyle name="Normal 4 2 2 3 2 6 2 3" xfId="12334" xr:uid="{09C77174-8124-4774-98E9-EF1FE4681BFE}"/>
    <cellStyle name="Normal 4 2 2 3 2 6 3" xfId="5957" xr:uid="{00000000-0005-0000-0000-00003C120000}"/>
    <cellStyle name="Normal 4 2 2 3 2 6 3 2" xfId="14407" xr:uid="{3E58212F-349F-4A88-B4F9-C6FEBAE2C363}"/>
    <cellStyle name="Normal 4 2 2 3 2 6 4" xfId="10189" xr:uid="{E477ABAE-EA66-4139-BF5D-5461023FD6A7}"/>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2 2 2" xfId="16965" xr:uid="{DFEB776E-A6FA-4D97-B0D5-2C4DC8CE6FEE}"/>
    <cellStyle name="Normal 4 2 2 3 2 7 2 3" xfId="12747" xr:uid="{0F15A127-17DF-4B44-9042-10E2242183AB}"/>
    <cellStyle name="Normal 4 2 2 3 2 7 3" xfId="6370" xr:uid="{00000000-0005-0000-0000-000040120000}"/>
    <cellStyle name="Normal 4 2 2 3 2 7 3 2" xfId="14820" xr:uid="{2BBA4CA3-723A-4783-BAFD-E4BFA90A2E4C}"/>
    <cellStyle name="Normal 4 2 2 3 2 7 4" xfId="10602" xr:uid="{BB2C0568-65E0-4B6E-BBB3-206B216E8F3A}"/>
    <cellStyle name="Normal 4 2 2 3 2 8" xfId="2500" xr:uid="{00000000-0005-0000-0000-000041120000}"/>
    <cellStyle name="Normal 4 2 2 3 2 8 2" xfId="6783" xr:uid="{00000000-0005-0000-0000-000042120000}"/>
    <cellStyle name="Normal 4 2 2 3 2 8 2 2" xfId="15233" xr:uid="{E46D9CF7-9AD6-4A66-9A8F-0E7F94500428}"/>
    <cellStyle name="Normal 4 2 2 3 2 8 3" xfId="11015" xr:uid="{D2D450F9-F8B8-45FE-99E5-8537F4F9103C}"/>
    <cellStyle name="Normal 4 2 2 3 2 9" xfId="4718" xr:uid="{00000000-0005-0000-0000-000043120000}"/>
    <cellStyle name="Normal 4 2 2 3 2 9 2" xfId="13168" xr:uid="{8A8D26D9-DAB1-46B8-9912-CD7E76A6EE14}"/>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2 2 2" xfId="15731" xr:uid="{5482D9E9-F96C-44D1-95B9-18F6770B946B}"/>
    <cellStyle name="Normal 4 2 2 3 3 2 2 2 3" xfId="11513" xr:uid="{824E1826-5A2F-4C36-915B-D21FDB0875E2}"/>
    <cellStyle name="Normal 4 2 2 3 3 2 2 3" xfId="5136" xr:uid="{00000000-0005-0000-0000-000049120000}"/>
    <cellStyle name="Normal 4 2 2 3 3 2 2 3 2" xfId="13586" xr:uid="{7F960F0F-16BA-48FD-A34C-EB273741EC27}"/>
    <cellStyle name="Normal 4 2 2 3 3 2 2 4" xfId="9368" xr:uid="{6AC19C7B-D3B0-4D6B-8224-3ADFF60C715C}"/>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2 2 2" xfId="16144" xr:uid="{E74C5013-C0A5-4775-A26F-277F81D35DD0}"/>
    <cellStyle name="Normal 4 2 2 3 3 2 3 2 3" xfId="11926" xr:uid="{D05BF37F-D3F5-4E92-AD53-4AB780372F3C}"/>
    <cellStyle name="Normal 4 2 2 3 3 2 3 3" xfId="5549" xr:uid="{00000000-0005-0000-0000-00004D120000}"/>
    <cellStyle name="Normal 4 2 2 3 3 2 3 3 2" xfId="13999" xr:uid="{02C7C0A2-D467-4F38-935E-C0C214B7FE40}"/>
    <cellStyle name="Normal 4 2 2 3 3 2 3 4" xfId="9781" xr:uid="{4D644472-29FA-4660-9D26-C4592786F814}"/>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2 2 2" xfId="16557" xr:uid="{33A1098D-1604-43C8-A9A6-807B280AFD3E}"/>
    <cellStyle name="Normal 4 2 2 3 3 2 4 2 3" xfId="12339" xr:uid="{6C7561D4-ED0F-46F5-96A3-0A149F35846C}"/>
    <cellStyle name="Normal 4 2 2 3 3 2 4 3" xfId="5962" xr:uid="{00000000-0005-0000-0000-000051120000}"/>
    <cellStyle name="Normal 4 2 2 3 3 2 4 3 2" xfId="14412" xr:uid="{ABE22F95-C200-4BC5-8378-74AB48E3C8BE}"/>
    <cellStyle name="Normal 4 2 2 3 3 2 4 4" xfId="10194" xr:uid="{B19BDD1A-97A9-49E4-8F40-CB67B5BBA542}"/>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2 2 2" xfId="16970" xr:uid="{8D0ADFB5-6292-4662-A5F1-64C5CB7D5E3C}"/>
    <cellStyle name="Normal 4 2 2 3 3 2 5 2 3" xfId="12752" xr:uid="{1E3EAEC5-F3E0-45AE-9C4F-4F80E5F47F77}"/>
    <cellStyle name="Normal 4 2 2 3 3 2 5 3" xfId="6375" xr:uid="{00000000-0005-0000-0000-000055120000}"/>
    <cellStyle name="Normal 4 2 2 3 3 2 5 3 2" xfId="14825" xr:uid="{4E724039-0651-4CE2-B807-98D2A7CF5019}"/>
    <cellStyle name="Normal 4 2 2 3 3 2 5 4" xfId="10607" xr:uid="{193FE8C5-E660-403A-B3BE-BB74349F5E08}"/>
    <cellStyle name="Normal 4 2 2 3 3 2 6" xfId="2505" xr:uid="{00000000-0005-0000-0000-000056120000}"/>
    <cellStyle name="Normal 4 2 2 3 3 2 6 2" xfId="6788" xr:uid="{00000000-0005-0000-0000-000057120000}"/>
    <cellStyle name="Normal 4 2 2 3 3 2 6 2 2" xfId="15238" xr:uid="{68ACFD79-9F4F-4991-93C0-E56F40EF6C65}"/>
    <cellStyle name="Normal 4 2 2 3 3 2 6 3" xfId="11020" xr:uid="{5A10705A-5865-4D72-B15D-2998D5FCB28B}"/>
    <cellStyle name="Normal 4 2 2 3 3 2 7" xfId="4723" xr:uid="{00000000-0005-0000-0000-000058120000}"/>
    <cellStyle name="Normal 4 2 2 3 3 2 7 2" xfId="13173" xr:uid="{FB77D2DB-94C8-4684-BA9F-B0DED43C320F}"/>
    <cellStyle name="Normal 4 2 2 3 3 2 8" xfId="8955" xr:uid="{D24694BA-087E-4790-A242-13773038C473}"/>
    <cellStyle name="Normal 4 2 2 3 3 3" xfId="821" xr:uid="{00000000-0005-0000-0000-000059120000}"/>
    <cellStyle name="Normal 4 2 2 3 3 3 2" xfId="3058" xr:uid="{00000000-0005-0000-0000-00005A120000}"/>
    <cellStyle name="Normal 4 2 2 3 3 3 2 2" xfId="7280" xr:uid="{00000000-0005-0000-0000-00005B120000}"/>
    <cellStyle name="Normal 4 2 2 3 3 3 2 2 2" xfId="15730" xr:uid="{1368480F-C9F5-40A3-AA22-71803F2F6DD9}"/>
    <cellStyle name="Normal 4 2 2 3 3 3 2 3" xfId="11512" xr:uid="{639B226B-02AA-4737-B95D-41B0ACD6C98D}"/>
    <cellStyle name="Normal 4 2 2 3 3 3 3" xfId="5135" xr:uid="{00000000-0005-0000-0000-00005C120000}"/>
    <cellStyle name="Normal 4 2 2 3 3 3 3 2" xfId="13585" xr:uid="{8B54333D-ED65-4AD1-A6D9-5682A2C09672}"/>
    <cellStyle name="Normal 4 2 2 3 3 3 4" xfId="9367" xr:uid="{BB6EE0E4-5753-4837-9261-8EA93301AF25}"/>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2 2 2" xfId="16143" xr:uid="{07D74B75-266D-448A-B294-8C58A78D19B7}"/>
    <cellStyle name="Normal 4 2 2 3 3 4 2 3" xfId="11925" xr:uid="{91CF269D-3CF3-41EF-9B28-126A211B619D}"/>
    <cellStyle name="Normal 4 2 2 3 3 4 3" xfId="5548" xr:uid="{00000000-0005-0000-0000-000060120000}"/>
    <cellStyle name="Normal 4 2 2 3 3 4 3 2" xfId="13998" xr:uid="{9360A7B7-3299-4D88-AA0A-5C99DC3265CB}"/>
    <cellStyle name="Normal 4 2 2 3 3 4 4" xfId="9780" xr:uid="{C283F9B4-8038-4645-ADA3-895BBA01C8CF}"/>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2 2 2" xfId="16556" xr:uid="{2887599F-1805-4A84-BE14-252D508EBB34}"/>
    <cellStyle name="Normal 4 2 2 3 3 5 2 3" xfId="12338" xr:uid="{F1089537-46C2-48E2-A6A9-FD29E39BCEB8}"/>
    <cellStyle name="Normal 4 2 2 3 3 5 3" xfId="5961" xr:uid="{00000000-0005-0000-0000-000064120000}"/>
    <cellStyle name="Normal 4 2 2 3 3 5 3 2" xfId="14411" xr:uid="{64AAF394-814F-4FA7-AB1B-46CE4ACABD87}"/>
    <cellStyle name="Normal 4 2 2 3 3 5 4" xfId="10193" xr:uid="{667EB2C4-2FC5-4756-A0F9-9C96C64279E6}"/>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2 2 2" xfId="16969" xr:uid="{6735352D-FA4D-4A45-97F7-53849B666600}"/>
    <cellStyle name="Normal 4 2 2 3 3 6 2 3" xfId="12751" xr:uid="{FFCB69F8-8834-44A2-B0A7-EE03C5A5CC12}"/>
    <cellStyle name="Normal 4 2 2 3 3 6 3" xfId="6374" xr:uid="{00000000-0005-0000-0000-000068120000}"/>
    <cellStyle name="Normal 4 2 2 3 3 6 3 2" xfId="14824" xr:uid="{CE4F59D2-2CB8-41D7-AA22-062241906718}"/>
    <cellStyle name="Normal 4 2 2 3 3 6 4" xfId="10606" xr:uid="{DA9E339A-EE9B-4133-B5F5-E371DB880C90}"/>
    <cellStyle name="Normal 4 2 2 3 3 7" xfId="2504" xr:uid="{00000000-0005-0000-0000-000069120000}"/>
    <cellStyle name="Normal 4 2 2 3 3 7 2" xfId="6787" xr:uid="{00000000-0005-0000-0000-00006A120000}"/>
    <cellStyle name="Normal 4 2 2 3 3 7 2 2" xfId="15237" xr:uid="{A99CF455-8934-4249-AF14-6246938C1628}"/>
    <cellStyle name="Normal 4 2 2 3 3 7 3" xfId="11019" xr:uid="{9C0332D2-46AC-4F40-A197-F696C1EAAA69}"/>
    <cellStyle name="Normal 4 2 2 3 3 8" xfId="4722" xr:uid="{00000000-0005-0000-0000-00006B120000}"/>
    <cellStyle name="Normal 4 2 2 3 3 8 2" xfId="13172" xr:uid="{9E74F353-4B70-437B-8F84-886C176D9EB0}"/>
    <cellStyle name="Normal 4 2 2 3 3 9" xfId="8954" xr:uid="{DA34C85F-42D6-4922-BC66-7C65F2FD7E36}"/>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2 2 2" xfId="15732" xr:uid="{0F511A49-EBA1-47D7-8001-2DDF2BC37414}"/>
    <cellStyle name="Normal 4 2 2 3 4 2 2 3" xfId="11514" xr:uid="{427C39F9-4277-4410-936B-4F8BF1C2E772}"/>
    <cellStyle name="Normal 4 2 2 3 4 2 3" xfId="5137" xr:uid="{00000000-0005-0000-0000-000070120000}"/>
    <cellStyle name="Normal 4 2 2 3 4 2 3 2" xfId="13587" xr:uid="{F5750427-5B5F-4340-B706-A320981C7F43}"/>
    <cellStyle name="Normal 4 2 2 3 4 2 4" xfId="9369" xr:uid="{6E177DB1-B0A8-4742-9834-936DFD550678}"/>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2 2 2" xfId="16145" xr:uid="{3262A493-8D8F-4923-97EF-A0DE0DAE5CD3}"/>
    <cellStyle name="Normal 4 2 2 3 4 3 2 3" xfId="11927" xr:uid="{A3FD4B60-E253-4179-AFD3-E4C07D7B4871}"/>
    <cellStyle name="Normal 4 2 2 3 4 3 3" xfId="5550" xr:uid="{00000000-0005-0000-0000-000074120000}"/>
    <cellStyle name="Normal 4 2 2 3 4 3 3 2" xfId="14000" xr:uid="{C9A81F82-CD1E-46B3-835C-29CFC34D7928}"/>
    <cellStyle name="Normal 4 2 2 3 4 3 4" xfId="9782" xr:uid="{2E94CC91-8376-44ED-A688-4C4EBAE25FB3}"/>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2 2 2" xfId="16558" xr:uid="{AF2E333F-F6E5-4CC3-BB52-EEC67C36B2BB}"/>
    <cellStyle name="Normal 4 2 2 3 4 4 2 3" xfId="12340" xr:uid="{17865741-03AC-4830-83E2-691BD5801E51}"/>
    <cellStyle name="Normal 4 2 2 3 4 4 3" xfId="5963" xr:uid="{00000000-0005-0000-0000-000078120000}"/>
    <cellStyle name="Normal 4 2 2 3 4 4 3 2" xfId="14413" xr:uid="{04ABE117-A7BA-435B-A8EA-0F31228B3CCF}"/>
    <cellStyle name="Normal 4 2 2 3 4 4 4" xfId="10195" xr:uid="{909BBE6F-4572-4912-88A6-28D757AAB968}"/>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2 2 2" xfId="16971" xr:uid="{592B0B77-B855-42AD-8906-0D9EFA96875F}"/>
    <cellStyle name="Normal 4 2 2 3 4 5 2 3" xfId="12753" xr:uid="{1E878CFD-414F-4DA8-8E35-A84603E469F7}"/>
    <cellStyle name="Normal 4 2 2 3 4 5 3" xfId="6376" xr:uid="{00000000-0005-0000-0000-00007C120000}"/>
    <cellStyle name="Normal 4 2 2 3 4 5 3 2" xfId="14826" xr:uid="{B041EB9B-39C0-440B-835B-B209F089405D}"/>
    <cellStyle name="Normal 4 2 2 3 4 5 4" xfId="10608" xr:uid="{5C61EA24-BD30-4773-88A4-75E1E2552D71}"/>
    <cellStyle name="Normal 4 2 2 3 4 6" xfId="2506" xr:uid="{00000000-0005-0000-0000-00007D120000}"/>
    <cellStyle name="Normal 4 2 2 3 4 6 2" xfId="6789" xr:uid="{00000000-0005-0000-0000-00007E120000}"/>
    <cellStyle name="Normal 4 2 2 3 4 6 2 2" xfId="15239" xr:uid="{5022808E-B6B0-43D5-879B-00CBBC6E2B74}"/>
    <cellStyle name="Normal 4 2 2 3 4 6 3" xfId="11021" xr:uid="{D04006E1-CFB0-47BB-BEA9-79477A44BB53}"/>
    <cellStyle name="Normal 4 2 2 3 4 7" xfId="4724" xr:uid="{00000000-0005-0000-0000-00007F120000}"/>
    <cellStyle name="Normal 4 2 2 3 4 7 2" xfId="13174" xr:uid="{2624A388-57AB-4379-B823-AC04C0760958}"/>
    <cellStyle name="Normal 4 2 2 3 4 8" xfId="8956" xr:uid="{E3A7D983-34C9-44FA-A96C-1704776E1B7C}"/>
    <cellStyle name="Normal 4 2 2 3 5" xfId="816" xr:uid="{00000000-0005-0000-0000-000080120000}"/>
    <cellStyle name="Normal 4 2 2 3 5 2" xfId="3053" xr:uid="{00000000-0005-0000-0000-000081120000}"/>
    <cellStyle name="Normal 4 2 2 3 5 2 2" xfId="7275" xr:uid="{00000000-0005-0000-0000-000082120000}"/>
    <cellStyle name="Normal 4 2 2 3 5 2 2 2" xfId="15725" xr:uid="{B870A186-77D8-429E-9163-A64FD6C020B3}"/>
    <cellStyle name="Normal 4 2 2 3 5 2 3" xfId="11507" xr:uid="{CBA06A04-3F28-427D-A082-053A8BCDC672}"/>
    <cellStyle name="Normal 4 2 2 3 5 3" xfId="5130" xr:uid="{00000000-0005-0000-0000-000083120000}"/>
    <cellStyle name="Normal 4 2 2 3 5 3 2" xfId="13580" xr:uid="{CEE7DFE1-8C25-4BC6-B114-95E92F1EFA51}"/>
    <cellStyle name="Normal 4 2 2 3 5 4" xfId="9362" xr:uid="{8B3B7339-5E24-47F3-B062-C0E3B2E99D40}"/>
    <cellStyle name="Normal 4 2 2 3 6" xfId="1236" xr:uid="{00000000-0005-0000-0000-000084120000}"/>
    <cellStyle name="Normal 4 2 2 3 6 2" xfId="3466" xr:uid="{00000000-0005-0000-0000-000085120000}"/>
    <cellStyle name="Normal 4 2 2 3 6 2 2" xfId="7688" xr:uid="{00000000-0005-0000-0000-000086120000}"/>
    <cellStyle name="Normal 4 2 2 3 6 2 2 2" xfId="16138" xr:uid="{661C11DD-2152-401C-9F7E-847A41ED07A9}"/>
    <cellStyle name="Normal 4 2 2 3 6 2 3" xfId="11920" xr:uid="{EF32BE0C-82C6-446F-A2D0-4ADACC5B44C6}"/>
    <cellStyle name="Normal 4 2 2 3 6 3" xfId="5543" xr:uid="{00000000-0005-0000-0000-000087120000}"/>
    <cellStyle name="Normal 4 2 2 3 6 3 2" xfId="13993" xr:uid="{F8FDCA62-53D6-4724-8516-BD14B1BAE439}"/>
    <cellStyle name="Normal 4 2 2 3 6 4" xfId="9775" xr:uid="{33DB0B5D-4BAD-4E9B-BB03-0BFFDEBE13A7}"/>
    <cellStyle name="Normal 4 2 2 3 7" xfId="1649" xr:uid="{00000000-0005-0000-0000-000088120000}"/>
    <cellStyle name="Normal 4 2 2 3 7 2" xfId="3879" xr:uid="{00000000-0005-0000-0000-000089120000}"/>
    <cellStyle name="Normal 4 2 2 3 7 2 2" xfId="8101" xr:uid="{00000000-0005-0000-0000-00008A120000}"/>
    <cellStyle name="Normal 4 2 2 3 7 2 2 2" xfId="16551" xr:uid="{15774803-B7FA-4276-9AB7-DE4FBDEE02D0}"/>
    <cellStyle name="Normal 4 2 2 3 7 2 3" xfId="12333" xr:uid="{89C0F5B1-3EB1-4127-9644-DB6D3ADAB98B}"/>
    <cellStyle name="Normal 4 2 2 3 7 3" xfId="5956" xr:uid="{00000000-0005-0000-0000-00008B120000}"/>
    <cellStyle name="Normal 4 2 2 3 7 3 2" xfId="14406" xr:uid="{8EDB2C1C-F3A5-45D0-89FC-FB9E31CACAD5}"/>
    <cellStyle name="Normal 4 2 2 3 7 4" xfId="10188" xr:uid="{E0E61111-4928-4D37-B4DF-23E7B74D08AA}"/>
    <cellStyle name="Normal 4 2 2 3 8" xfId="2063" xr:uid="{00000000-0005-0000-0000-00008C120000}"/>
    <cellStyle name="Normal 4 2 2 3 8 2" xfId="4292" xr:uid="{00000000-0005-0000-0000-00008D120000}"/>
    <cellStyle name="Normal 4 2 2 3 8 2 2" xfId="8514" xr:uid="{00000000-0005-0000-0000-00008E120000}"/>
    <cellStyle name="Normal 4 2 2 3 8 2 2 2" xfId="16964" xr:uid="{A1A2F764-C37C-4C72-803A-8682211232C7}"/>
    <cellStyle name="Normal 4 2 2 3 8 2 3" xfId="12746" xr:uid="{E56280BF-5229-4080-9C58-0DFE0BAB2FBC}"/>
    <cellStyle name="Normal 4 2 2 3 8 3" xfId="6369" xr:uid="{00000000-0005-0000-0000-00008F120000}"/>
    <cellStyle name="Normal 4 2 2 3 8 3 2" xfId="14819" xr:uid="{1F16328D-F03E-4E6A-A122-C64A75F9109F}"/>
    <cellStyle name="Normal 4 2 2 3 8 4" xfId="10601" xr:uid="{66DC9C04-55E4-4BFB-8E85-DF3C0DB0DA56}"/>
    <cellStyle name="Normal 4 2 2 3 9" xfId="2499" xr:uid="{00000000-0005-0000-0000-000090120000}"/>
    <cellStyle name="Normal 4 2 2 3 9 2" xfId="6782" xr:uid="{00000000-0005-0000-0000-000091120000}"/>
    <cellStyle name="Normal 4 2 2 3 9 2 2" xfId="15232" xr:uid="{30595758-858C-4E8D-912D-54767E25E385}"/>
    <cellStyle name="Normal 4 2 2 3 9 3" xfId="11014" xr:uid="{EEDD8AC1-40C1-4C12-BFCE-51C0200E6C48}"/>
    <cellStyle name="Normal 4 2 2 4" xfId="347" xr:uid="{00000000-0005-0000-0000-000092120000}"/>
    <cellStyle name="Normal 4 2 2 4 10" xfId="8957" xr:uid="{88124754-0389-47C5-9A59-AB0942F4B419}"/>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2 2 2" xfId="15735" xr:uid="{96E080E3-49FD-491B-B96F-9CA0A19A502E}"/>
    <cellStyle name="Normal 4 2 2 4 2 2 2 2 3" xfId="11517" xr:uid="{EDE68CED-12C0-4C3C-9E78-6E38F4CCD5D1}"/>
    <cellStyle name="Normal 4 2 2 4 2 2 2 3" xfId="5140" xr:uid="{00000000-0005-0000-0000-000098120000}"/>
    <cellStyle name="Normal 4 2 2 4 2 2 2 3 2" xfId="13590" xr:uid="{8B61A5CB-46EB-417C-9D57-FEA0AB8B86DE}"/>
    <cellStyle name="Normal 4 2 2 4 2 2 2 4" xfId="9372" xr:uid="{331BCC85-4333-49C6-A6BB-5F9134011C11}"/>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2 2 2" xfId="16148" xr:uid="{C5B394E3-438A-44A3-A79B-5FE315F686AE}"/>
    <cellStyle name="Normal 4 2 2 4 2 2 3 2 3" xfId="11930" xr:uid="{F4EF3AE7-D0FC-4AFB-AD35-FEC56B865886}"/>
    <cellStyle name="Normal 4 2 2 4 2 2 3 3" xfId="5553" xr:uid="{00000000-0005-0000-0000-00009C120000}"/>
    <cellStyle name="Normal 4 2 2 4 2 2 3 3 2" xfId="14003" xr:uid="{C64C0517-FCA0-423E-BA5A-0F92518E6B7D}"/>
    <cellStyle name="Normal 4 2 2 4 2 2 3 4" xfId="9785" xr:uid="{C5D5EE55-E1E8-4007-9C2A-81C932DEF96D}"/>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2 2 2" xfId="16561" xr:uid="{30FB858D-5F5E-4974-931F-675EF3A72EFD}"/>
    <cellStyle name="Normal 4 2 2 4 2 2 4 2 3" xfId="12343" xr:uid="{1DA03BE1-54C2-4D67-A24E-8B1C8E2BF0BD}"/>
    <cellStyle name="Normal 4 2 2 4 2 2 4 3" xfId="5966" xr:uid="{00000000-0005-0000-0000-0000A0120000}"/>
    <cellStyle name="Normal 4 2 2 4 2 2 4 3 2" xfId="14416" xr:uid="{40797F8D-05AB-4015-BDB4-B7920505CE00}"/>
    <cellStyle name="Normal 4 2 2 4 2 2 4 4" xfId="10198" xr:uid="{6DCD893E-71F7-4D71-A6B9-4342588419DD}"/>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2 2 2" xfId="16974" xr:uid="{C74C26B4-A00F-41B7-BDEE-F87BCCB6D86A}"/>
    <cellStyle name="Normal 4 2 2 4 2 2 5 2 3" xfId="12756" xr:uid="{1C43EA56-6CD5-4CB2-A3D1-631590914CF9}"/>
    <cellStyle name="Normal 4 2 2 4 2 2 5 3" xfId="6379" xr:uid="{00000000-0005-0000-0000-0000A4120000}"/>
    <cellStyle name="Normal 4 2 2 4 2 2 5 3 2" xfId="14829" xr:uid="{33280CAC-2E0A-40FC-BC93-F670E8956306}"/>
    <cellStyle name="Normal 4 2 2 4 2 2 5 4" xfId="10611" xr:uid="{BA6AA8D4-F9B1-4494-A3E9-9C11F8A6F92F}"/>
    <cellStyle name="Normal 4 2 2 4 2 2 6" xfId="2509" xr:uid="{00000000-0005-0000-0000-0000A5120000}"/>
    <cellStyle name="Normal 4 2 2 4 2 2 6 2" xfId="6792" xr:uid="{00000000-0005-0000-0000-0000A6120000}"/>
    <cellStyle name="Normal 4 2 2 4 2 2 6 2 2" xfId="15242" xr:uid="{EB14431F-CBB6-486D-A9CF-9A195CCBA37E}"/>
    <cellStyle name="Normal 4 2 2 4 2 2 6 3" xfId="11024" xr:uid="{35AB7EA7-8AB1-4E2E-8675-7BC47383127D}"/>
    <cellStyle name="Normal 4 2 2 4 2 2 7" xfId="4727" xr:uid="{00000000-0005-0000-0000-0000A7120000}"/>
    <cellStyle name="Normal 4 2 2 4 2 2 7 2" xfId="13177" xr:uid="{430F92B6-9537-4CA6-A158-4333E1B74294}"/>
    <cellStyle name="Normal 4 2 2 4 2 2 8" xfId="8959" xr:uid="{242BD668-C622-4C7E-AC8C-638FA113C829}"/>
    <cellStyle name="Normal 4 2 2 4 2 3" xfId="825" xr:uid="{00000000-0005-0000-0000-0000A8120000}"/>
    <cellStyle name="Normal 4 2 2 4 2 3 2" xfId="3062" xr:uid="{00000000-0005-0000-0000-0000A9120000}"/>
    <cellStyle name="Normal 4 2 2 4 2 3 2 2" xfId="7284" xr:uid="{00000000-0005-0000-0000-0000AA120000}"/>
    <cellStyle name="Normal 4 2 2 4 2 3 2 2 2" xfId="15734" xr:uid="{59D76085-8035-4411-AFF6-AF7DEDD946F0}"/>
    <cellStyle name="Normal 4 2 2 4 2 3 2 3" xfId="11516" xr:uid="{867C087B-A41E-4003-8443-5D4C63C39E72}"/>
    <cellStyle name="Normal 4 2 2 4 2 3 3" xfId="5139" xr:uid="{00000000-0005-0000-0000-0000AB120000}"/>
    <cellStyle name="Normal 4 2 2 4 2 3 3 2" xfId="13589" xr:uid="{5AB52BDE-C8FC-4F27-8C81-DC92D9CD73CA}"/>
    <cellStyle name="Normal 4 2 2 4 2 3 4" xfId="9371" xr:uid="{8DDD6E3D-F44A-4B7D-BB5E-95D2EDE118D1}"/>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2 2 2" xfId="16147" xr:uid="{427BD8BE-FB5C-4844-998F-6E703E4ADFC7}"/>
    <cellStyle name="Normal 4 2 2 4 2 4 2 3" xfId="11929" xr:uid="{63FD80E6-B7A0-4BFE-B7F9-FD5774C99BE0}"/>
    <cellStyle name="Normal 4 2 2 4 2 4 3" xfId="5552" xr:uid="{00000000-0005-0000-0000-0000AF120000}"/>
    <cellStyle name="Normal 4 2 2 4 2 4 3 2" xfId="14002" xr:uid="{36D069C6-5878-4CCC-9B6D-4A1499426E84}"/>
    <cellStyle name="Normal 4 2 2 4 2 4 4" xfId="9784" xr:uid="{F59802DD-930E-4F5D-8944-860F0EC74585}"/>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2 2 2" xfId="16560" xr:uid="{0B6A2A79-2F91-4F88-A1A3-981AFC4799E0}"/>
    <cellStyle name="Normal 4 2 2 4 2 5 2 3" xfId="12342" xr:uid="{156AB26B-2D99-45FC-B3E2-F4F7EDD4D033}"/>
    <cellStyle name="Normal 4 2 2 4 2 5 3" xfId="5965" xr:uid="{00000000-0005-0000-0000-0000B3120000}"/>
    <cellStyle name="Normal 4 2 2 4 2 5 3 2" xfId="14415" xr:uid="{00E7C418-DB57-4326-AB5C-6BFC5DC2DB81}"/>
    <cellStyle name="Normal 4 2 2 4 2 5 4" xfId="10197" xr:uid="{EAFEDAD9-B4C2-4BCD-A743-522B34D28B22}"/>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2 2 2" xfId="16973" xr:uid="{771603B4-460E-48EE-A857-99FB36A6BA50}"/>
    <cellStyle name="Normal 4 2 2 4 2 6 2 3" xfId="12755" xr:uid="{EBC4BA29-B314-4F26-926D-5283F1E38EF2}"/>
    <cellStyle name="Normal 4 2 2 4 2 6 3" xfId="6378" xr:uid="{00000000-0005-0000-0000-0000B7120000}"/>
    <cellStyle name="Normal 4 2 2 4 2 6 3 2" xfId="14828" xr:uid="{4E3F94B8-74CE-4BB4-9A7D-57BD38A69EAA}"/>
    <cellStyle name="Normal 4 2 2 4 2 6 4" xfId="10610" xr:uid="{15015396-398D-43C7-9ADC-82A280C4AE4F}"/>
    <cellStyle name="Normal 4 2 2 4 2 7" xfId="2508" xr:uid="{00000000-0005-0000-0000-0000B8120000}"/>
    <cellStyle name="Normal 4 2 2 4 2 7 2" xfId="6791" xr:uid="{00000000-0005-0000-0000-0000B9120000}"/>
    <cellStyle name="Normal 4 2 2 4 2 7 2 2" xfId="15241" xr:uid="{E13C6B5F-B7FE-41CA-AF12-429DA4A6F06E}"/>
    <cellStyle name="Normal 4 2 2 4 2 7 3" xfId="11023" xr:uid="{4414DF98-7D96-404B-9699-0E5E3706E519}"/>
    <cellStyle name="Normal 4 2 2 4 2 8" xfId="4726" xr:uid="{00000000-0005-0000-0000-0000BA120000}"/>
    <cellStyle name="Normal 4 2 2 4 2 8 2" xfId="13176" xr:uid="{9DEB9EF3-C1D2-4A82-A82D-9DBC3BD5507C}"/>
    <cellStyle name="Normal 4 2 2 4 2 9" xfId="8958" xr:uid="{3FBE5F39-2A8B-4E4E-9E43-BCF1C8F1467D}"/>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2 2 2" xfId="15736" xr:uid="{1C8E5712-785A-4A37-9890-90B703A5BEDD}"/>
    <cellStyle name="Normal 4 2 2 4 3 2 2 3" xfId="11518" xr:uid="{57241484-B233-42CE-BBE9-2D48503BC7D0}"/>
    <cellStyle name="Normal 4 2 2 4 3 2 3" xfId="5141" xr:uid="{00000000-0005-0000-0000-0000BF120000}"/>
    <cellStyle name="Normal 4 2 2 4 3 2 3 2" xfId="13591" xr:uid="{BDD0A5BC-32A9-4DE5-B1D7-A3834E14CCB0}"/>
    <cellStyle name="Normal 4 2 2 4 3 2 4" xfId="9373" xr:uid="{D8C8D8F0-C90A-4177-AD95-C73CA8D43FD8}"/>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2 2 2" xfId="16149" xr:uid="{31B0E003-B10F-4719-8F05-96B3736833BC}"/>
    <cellStyle name="Normal 4 2 2 4 3 3 2 3" xfId="11931" xr:uid="{E3EF83E8-5466-421B-AA11-4FABCEC537E2}"/>
    <cellStyle name="Normal 4 2 2 4 3 3 3" xfId="5554" xr:uid="{00000000-0005-0000-0000-0000C3120000}"/>
    <cellStyle name="Normal 4 2 2 4 3 3 3 2" xfId="14004" xr:uid="{0994BBAB-8268-4F05-BCC3-554DB66A05FC}"/>
    <cellStyle name="Normal 4 2 2 4 3 3 4" xfId="9786" xr:uid="{4E613118-7CA5-465B-950A-0C03D594592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2 2 2" xfId="16562" xr:uid="{CF14B80F-7EC1-4B85-8451-90F0EBD6C1C1}"/>
    <cellStyle name="Normal 4 2 2 4 3 4 2 3" xfId="12344" xr:uid="{0F219FD3-3880-49FC-99B2-4B52EC2BA9DA}"/>
    <cellStyle name="Normal 4 2 2 4 3 4 3" xfId="5967" xr:uid="{00000000-0005-0000-0000-0000C7120000}"/>
    <cellStyle name="Normal 4 2 2 4 3 4 3 2" xfId="14417" xr:uid="{59EA981E-E189-43C3-BC2F-0A4149794F98}"/>
    <cellStyle name="Normal 4 2 2 4 3 4 4" xfId="10199" xr:uid="{B59E0CD8-EECF-4373-B942-507AC8130D49}"/>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2 2 2" xfId="16975" xr:uid="{AA6BA253-032D-437F-8CDE-EFD88DD0210B}"/>
    <cellStyle name="Normal 4 2 2 4 3 5 2 3" xfId="12757" xr:uid="{B4C419FB-AD6B-4372-B5A8-3356C2E58368}"/>
    <cellStyle name="Normal 4 2 2 4 3 5 3" xfId="6380" xr:uid="{00000000-0005-0000-0000-0000CB120000}"/>
    <cellStyle name="Normal 4 2 2 4 3 5 3 2" xfId="14830" xr:uid="{7CCC15AB-B325-4F77-B576-4E2E592CE250}"/>
    <cellStyle name="Normal 4 2 2 4 3 5 4" xfId="10612" xr:uid="{CACC28CD-81A6-4146-9CC5-848A7DE063BF}"/>
    <cellStyle name="Normal 4 2 2 4 3 6" xfId="2510" xr:uid="{00000000-0005-0000-0000-0000CC120000}"/>
    <cellStyle name="Normal 4 2 2 4 3 6 2" xfId="6793" xr:uid="{00000000-0005-0000-0000-0000CD120000}"/>
    <cellStyle name="Normal 4 2 2 4 3 6 2 2" xfId="15243" xr:uid="{F8693F42-8DCC-48C0-A801-46BD8EBC7E73}"/>
    <cellStyle name="Normal 4 2 2 4 3 6 3" xfId="11025" xr:uid="{F77F3154-D499-434E-8F93-28FADD80C723}"/>
    <cellStyle name="Normal 4 2 2 4 3 7" xfId="4728" xr:uid="{00000000-0005-0000-0000-0000CE120000}"/>
    <cellStyle name="Normal 4 2 2 4 3 7 2" xfId="13178" xr:uid="{AE66CD88-A265-4CDD-87B7-9FB75C4F17DB}"/>
    <cellStyle name="Normal 4 2 2 4 3 8" xfId="8960" xr:uid="{A9D4CAB4-1255-432C-AB4D-EDF7F18C4F86}"/>
    <cellStyle name="Normal 4 2 2 4 4" xfId="824" xr:uid="{00000000-0005-0000-0000-0000CF120000}"/>
    <cellStyle name="Normal 4 2 2 4 4 2" xfId="3061" xr:uid="{00000000-0005-0000-0000-0000D0120000}"/>
    <cellStyle name="Normal 4 2 2 4 4 2 2" xfId="7283" xr:uid="{00000000-0005-0000-0000-0000D1120000}"/>
    <cellStyle name="Normal 4 2 2 4 4 2 2 2" xfId="15733" xr:uid="{1B4B3A0A-4944-414E-A095-0E2AA8396829}"/>
    <cellStyle name="Normal 4 2 2 4 4 2 3" xfId="11515" xr:uid="{F744DECE-3A85-4F6A-BE21-CC87DE1A0AC4}"/>
    <cellStyle name="Normal 4 2 2 4 4 3" xfId="5138" xr:uid="{00000000-0005-0000-0000-0000D2120000}"/>
    <cellStyle name="Normal 4 2 2 4 4 3 2" xfId="13588" xr:uid="{2FEA713C-5220-4E53-BFC1-BE951DAEDCA7}"/>
    <cellStyle name="Normal 4 2 2 4 4 4" xfId="9370" xr:uid="{87AD26FE-8384-4523-8035-F925EFBB5BC1}"/>
    <cellStyle name="Normal 4 2 2 4 5" xfId="1244" xr:uid="{00000000-0005-0000-0000-0000D3120000}"/>
    <cellStyle name="Normal 4 2 2 4 5 2" xfId="3474" xr:uid="{00000000-0005-0000-0000-0000D4120000}"/>
    <cellStyle name="Normal 4 2 2 4 5 2 2" xfId="7696" xr:uid="{00000000-0005-0000-0000-0000D5120000}"/>
    <cellStyle name="Normal 4 2 2 4 5 2 2 2" xfId="16146" xr:uid="{C99AB1F3-B1E9-4BE3-BA83-1062DF9D903B}"/>
    <cellStyle name="Normal 4 2 2 4 5 2 3" xfId="11928" xr:uid="{895D1660-25BA-4491-915D-6C158581C401}"/>
    <cellStyle name="Normal 4 2 2 4 5 3" xfId="5551" xr:uid="{00000000-0005-0000-0000-0000D6120000}"/>
    <cellStyle name="Normal 4 2 2 4 5 3 2" xfId="14001" xr:uid="{8F0C02D3-A36A-4D09-8823-7E9CD6DC7B4A}"/>
    <cellStyle name="Normal 4 2 2 4 5 4" xfId="9783" xr:uid="{D54700D8-5DA4-4467-A53E-A7EC0D258471}"/>
    <cellStyle name="Normal 4 2 2 4 6" xfId="1657" xr:uid="{00000000-0005-0000-0000-0000D7120000}"/>
    <cellStyle name="Normal 4 2 2 4 6 2" xfId="3887" xr:uid="{00000000-0005-0000-0000-0000D8120000}"/>
    <cellStyle name="Normal 4 2 2 4 6 2 2" xfId="8109" xr:uid="{00000000-0005-0000-0000-0000D9120000}"/>
    <cellStyle name="Normal 4 2 2 4 6 2 2 2" xfId="16559" xr:uid="{F4B63ACD-72C8-4A05-82FC-8CC41DC293B4}"/>
    <cellStyle name="Normal 4 2 2 4 6 2 3" xfId="12341" xr:uid="{77B60956-5E8F-40F3-B224-BFBB291AB676}"/>
    <cellStyle name="Normal 4 2 2 4 6 3" xfId="5964" xr:uid="{00000000-0005-0000-0000-0000DA120000}"/>
    <cellStyle name="Normal 4 2 2 4 6 3 2" xfId="14414" xr:uid="{3135A343-4656-4670-A9FC-B7F0184C4E08}"/>
    <cellStyle name="Normal 4 2 2 4 6 4" xfId="10196" xr:uid="{86D73ABD-6818-4E0B-B2B8-9FA0AFD50DAF}"/>
    <cellStyle name="Normal 4 2 2 4 7" xfId="2071" xr:uid="{00000000-0005-0000-0000-0000DB120000}"/>
    <cellStyle name="Normal 4 2 2 4 7 2" xfId="4300" xr:uid="{00000000-0005-0000-0000-0000DC120000}"/>
    <cellStyle name="Normal 4 2 2 4 7 2 2" xfId="8522" xr:uid="{00000000-0005-0000-0000-0000DD120000}"/>
    <cellStyle name="Normal 4 2 2 4 7 2 2 2" xfId="16972" xr:uid="{EFAC5279-8CB5-4A33-B73B-41F1DF8F541F}"/>
    <cellStyle name="Normal 4 2 2 4 7 2 3" xfId="12754" xr:uid="{3278DA9F-FB22-4752-AEBC-E53A1BBAEC44}"/>
    <cellStyle name="Normal 4 2 2 4 7 3" xfId="6377" xr:uid="{00000000-0005-0000-0000-0000DE120000}"/>
    <cellStyle name="Normal 4 2 2 4 7 3 2" xfId="14827" xr:uid="{00580173-12C0-4A68-914F-AFDE1EC5E1EB}"/>
    <cellStyle name="Normal 4 2 2 4 7 4" xfId="10609" xr:uid="{3984EE5E-A243-49C6-9A87-A72A3C38DB6F}"/>
    <cellStyle name="Normal 4 2 2 4 8" xfId="2507" xr:uid="{00000000-0005-0000-0000-0000DF120000}"/>
    <cellStyle name="Normal 4 2 2 4 8 2" xfId="6790" xr:uid="{00000000-0005-0000-0000-0000E0120000}"/>
    <cellStyle name="Normal 4 2 2 4 8 2 2" xfId="15240" xr:uid="{5C33B8DD-AAFA-4D50-901C-127143D67D81}"/>
    <cellStyle name="Normal 4 2 2 4 8 3" xfId="11022" xr:uid="{441DB806-3FCE-4E4D-BC36-E27FBD79B6ED}"/>
    <cellStyle name="Normal 4 2 2 4 9" xfId="4725" xr:uid="{00000000-0005-0000-0000-0000E1120000}"/>
    <cellStyle name="Normal 4 2 2 4 9 2" xfId="13175" xr:uid="{C46D19BA-CDAE-4FB3-8CE5-009EB4C54E1E}"/>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2 2 2" xfId="15738" xr:uid="{A8DC23C7-91E5-4377-9C37-D1271C018F07}"/>
    <cellStyle name="Normal 4 2 2 5 2 2 2 3" xfId="11520" xr:uid="{B9B5BA92-7295-4824-9DA6-90F145B10871}"/>
    <cellStyle name="Normal 4 2 2 5 2 2 3" xfId="5143" xr:uid="{00000000-0005-0000-0000-0000E7120000}"/>
    <cellStyle name="Normal 4 2 2 5 2 2 3 2" xfId="13593" xr:uid="{D314D24D-3FDB-4BD1-A65A-9B42F7D40BC5}"/>
    <cellStyle name="Normal 4 2 2 5 2 2 4" xfId="9375" xr:uid="{3A9C1CFF-CE31-45B4-84C2-A5A04E253471}"/>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2 2 2" xfId="16151" xr:uid="{80875451-3DA3-4BF9-ABAC-C66C4A3C2236}"/>
    <cellStyle name="Normal 4 2 2 5 2 3 2 3" xfId="11933" xr:uid="{A2FB48A7-984D-4C31-A573-8ED5E56E6B5F}"/>
    <cellStyle name="Normal 4 2 2 5 2 3 3" xfId="5556" xr:uid="{00000000-0005-0000-0000-0000EB120000}"/>
    <cellStyle name="Normal 4 2 2 5 2 3 3 2" xfId="14006" xr:uid="{2B55599A-A347-4AF2-9F50-3E41C216316C}"/>
    <cellStyle name="Normal 4 2 2 5 2 3 4" xfId="9788" xr:uid="{15B02C9A-7319-4BC9-A258-DA5AD1CF7824}"/>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2 2 2" xfId="16564" xr:uid="{664D280C-A0E3-4AF7-A6BB-7E4381D9A504}"/>
    <cellStyle name="Normal 4 2 2 5 2 4 2 3" xfId="12346" xr:uid="{E1989FC1-FDCF-4C23-BEB5-0C8AF81A5929}"/>
    <cellStyle name="Normal 4 2 2 5 2 4 3" xfId="5969" xr:uid="{00000000-0005-0000-0000-0000EF120000}"/>
    <cellStyle name="Normal 4 2 2 5 2 4 3 2" xfId="14419" xr:uid="{C37173A4-67BF-49F3-A344-9400AFCDCCBE}"/>
    <cellStyle name="Normal 4 2 2 5 2 4 4" xfId="10201" xr:uid="{982266F3-3015-4C96-B6F7-DDECE274F309}"/>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2 2 2" xfId="16977" xr:uid="{A048D529-E471-476E-BE3F-E97650C456AE}"/>
    <cellStyle name="Normal 4 2 2 5 2 5 2 3" xfId="12759" xr:uid="{27A71A78-24B8-4BA7-A042-2E127019C9CD}"/>
    <cellStyle name="Normal 4 2 2 5 2 5 3" xfId="6382" xr:uid="{00000000-0005-0000-0000-0000F3120000}"/>
    <cellStyle name="Normal 4 2 2 5 2 5 3 2" xfId="14832" xr:uid="{4A0B0F38-7FDB-4433-9D32-E348A24BD2C5}"/>
    <cellStyle name="Normal 4 2 2 5 2 5 4" xfId="10614" xr:uid="{A5636727-F7C2-49EB-B8A3-BA3107C56EC3}"/>
    <cellStyle name="Normal 4 2 2 5 2 6" xfId="2512" xr:uid="{00000000-0005-0000-0000-0000F4120000}"/>
    <cellStyle name="Normal 4 2 2 5 2 6 2" xfId="6795" xr:uid="{00000000-0005-0000-0000-0000F5120000}"/>
    <cellStyle name="Normal 4 2 2 5 2 6 2 2" xfId="15245" xr:uid="{D967E364-C732-4D62-B5C3-E573E32AE17F}"/>
    <cellStyle name="Normal 4 2 2 5 2 6 3" xfId="11027" xr:uid="{E0343D81-47FD-4978-880E-A2C30891606A}"/>
    <cellStyle name="Normal 4 2 2 5 2 7" xfId="4730" xr:uid="{00000000-0005-0000-0000-0000F6120000}"/>
    <cellStyle name="Normal 4 2 2 5 2 7 2" xfId="13180" xr:uid="{02275FAD-7F2E-4F29-8C22-2338B4FFFD84}"/>
    <cellStyle name="Normal 4 2 2 5 2 8" xfId="8962" xr:uid="{D71D4857-31EF-4545-975E-92B854C621F1}"/>
    <cellStyle name="Normal 4 2 2 5 3" xfId="828" xr:uid="{00000000-0005-0000-0000-0000F7120000}"/>
    <cellStyle name="Normal 4 2 2 5 3 2" xfId="3065" xr:uid="{00000000-0005-0000-0000-0000F8120000}"/>
    <cellStyle name="Normal 4 2 2 5 3 2 2" xfId="7287" xr:uid="{00000000-0005-0000-0000-0000F9120000}"/>
    <cellStyle name="Normal 4 2 2 5 3 2 2 2" xfId="15737" xr:uid="{5184AA14-5E32-4850-8796-53B5C189B67C}"/>
    <cellStyle name="Normal 4 2 2 5 3 2 3" xfId="11519" xr:uid="{63A6B049-697D-4FDF-B765-730D1DB18C3F}"/>
    <cellStyle name="Normal 4 2 2 5 3 3" xfId="5142" xr:uid="{00000000-0005-0000-0000-0000FA120000}"/>
    <cellStyle name="Normal 4 2 2 5 3 3 2" xfId="13592" xr:uid="{0CD1BE00-9386-448C-BD16-70420F4F53D3}"/>
    <cellStyle name="Normal 4 2 2 5 3 4" xfId="9374" xr:uid="{C1E0FAB1-9770-41CC-A6BD-E8ECFEF04155}"/>
    <cellStyle name="Normal 4 2 2 5 4" xfId="1248" xr:uid="{00000000-0005-0000-0000-0000FB120000}"/>
    <cellStyle name="Normal 4 2 2 5 4 2" xfId="3478" xr:uid="{00000000-0005-0000-0000-0000FC120000}"/>
    <cellStyle name="Normal 4 2 2 5 4 2 2" xfId="7700" xr:uid="{00000000-0005-0000-0000-0000FD120000}"/>
    <cellStyle name="Normal 4 2 2 5 4 2 2 2" xfId="16150" xr:uid="{D4C214B0-54C6-4DA0-8E1E-3D54445D66F5}"/>
    <cellStyle name="Normal 4 2 2 5 4 2 3" xfId="11932" xr:uid="{F0D776CA-07D0-4069-8714-DF86C30A04C3}"/>
    <cellStyle name="Normal 4 2 2 5 4 3" xfId="5555" xr:uid="{00000000-0005-0000-0000-0000FE120000}"/>
    <cellStyle name="Normal 4 2 2 5 4 3 2" xfId="14005" xr:uid="{018A6257-8073-4BBA-B895-0BD6FB3866BE}"/>
    <cellStyle name="Normal 4 2 2 5 4 4" xfId="9787" xr:uid="{FDBCC8DC-E4DE-4E30-BF27-B75BB98C2582}"/>
    <cellStyle name="Normal 4 2 2 5 5" xfId="1661" xr:uid="{00000000-0005-0000-0000-0000FF120000}"/>
    <cellStyle name="Normal 4 2 2 5 5 2" xfId="3891" xr:uid="{00000000-0005-0000-0000-000000130000}"/>
    <cellStyle name="Normal 4 2 2 5 5 2 2" xfId="8113" xr:uid="{00000000-0005-0000-0000-000001130000}"/>
    <cellStyle name="Normal 4 2 2 5 5 2 2 2" xfId="16563" xr:uid="{4F47A8E1-2A10-4D75-9427-1FA9FC14BB70}"/>
    <cellStyle name="Normal 4 2 2 5 5 2 3" xfId="12345" xr:uid="{5813737E-33D3-4F22-B57E-E9848498F106}"/>
    <cellStyle name="Normal 4 2 2 5 5 3" xfId="5968" xr:uid="{00000000-0005-0000-0000-000002130000}"/>
    <cellStyle name="Normal 4 2 2 5 5 3 2" xfId="14418" xr:uid="{39A953D7-9D92-4A87-9523-71CEE71B784D}"/>
    <cellStyle name="Normal 4 2 2 5 5 4" xfId="10200" xr:uid="{52A196AE-6ACF-4044-AEBA-194DED2160E4}"/>
    <cellStyle name="Normal 4 2 2 5 6" xfId="2075" xr:uid="{00000000-0005-0000-0000-000003130000}"/>
    <cellStyle name="Normal 4 2 2 5 6 2" xfId="4304" xr:uid="{00000000-0005-0000-0000-000004130000}"/>
    <cellStyle name="Normal 4 2 2 5 6 2 2" xfId="8526" xr:uid="{00000000-0005-0000-0000-000005130000}"/>
    <cellStyle name="Normal 4 2 2 5 6 2 2 2" xfId="16976" xr:uid="{F4CBAC1F-C4C4-4DF1-B935-663926AF1D10}"/>
    <cellStyle name="Normal 4 2 2 5 6 2 3" xfId="12758" xr:uid="{A9B4B6A0-F809-47B6-ADA2-D29B52F6397B}"/>
    <cellStyle name="Normal 4 2 2 5 6 3" xfId="6381" xr:uid="{00000000-0005-0000-0000-000006130000}"/>
    <cellStyle name="Normal 4 2 2 5 6 3 2" xfId="14831" xr:uid="{0B7AAC72-4651-4E71-9F99-51312DD1F889}"/>
    <cellStyle name="Normal 4 2 2 5 6 4" xfId="10613" xr:uid="{0869AAAA-F761-4DD3-9651-AAE458549B42}"/>
    <cellStyle name="Normal 4 2 2 5 7" xfId="2511" xr:uid="{00000000-0005-0000-0000-000007130000}"/>
    <cellStyle name="Normal 4 2 2 5 7 2" xfId="6794" xr:uid="{00000000-0005-0000-0000-000008130000}"/>
    <cellStyle name="Normal 4 2 2 5 7 2 2" xfId="15244" xr:uid="{04535AD5-F9B5-4B98-BAEF-D0BB7DBFDBE3}"/>
    <cellStyle name="Normal 4 2 2 5 7 3" xfId="11026" xr:uid="{4266A39B-DD8A-4394-809C-3A2759A87A39}"/>
    <cellStyle name="Normal 4 2 2 5 8" xfId="4729" xr:uid="{00000000-0005-0000-0000-000009130000}"/>
    <cellStyle name="Normal 4 2 2 5 8 2" xfId="13179" xr:uid="{E90B31E0-F91A-4E65-B770-5A537A9B5473}"/>
    <cellStyle name="Normal 4 2 2 5 9" xfId="8961" xr:uid="{FF58B9E2-D588-4623-BB3C-2AF549DB8668}"/>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2 2 2" xfId="15739" xr:uid="{FA88B9A2-C639-4730-957E-45A1FB65AFA7}"/>
    <cellStyle name="Normal 4 2 2 6 2 2 3" xfId="11521" xr:uid="{DA71DFF4-1614-4893-AD94-9596276B66C3}"/>
    <cellStyle name="Normal 4 2 2 6 2 3" xfId="5144" xr:uid="{00000000-0005-0000-0000-00000E130000}"/>
    <cellStyle name="Normal 4 2 2 6 2 3 2" xfId="13594" xr:uid="{D6910388-D926-4069-8E4D-4AA3ECFEF7FF}"/>
    <cellStyle name="Normal 4 2 2 6 2 4" xfId="9376" xr:uid="{18C46669-EA1B-4D66-94E6-F165C20C7046}"/>
    <cellStyle name="Normal 4 2 2 6 3" xfId="1250" xr:uid="{00000000-0005-0000-0000-00000F130000}"/>
    <cellStyle name="Normal 4 2 2 6 3 2" xfId="3480" xr:uid="{00000000-0005-0000-0000-000010130000}"/>
    <cellStyle name="Normal 4 2 2 6 3 2 2" xfId="7702" xr:uid="{00000000-0005-0000-0000-000011130000}"/>
    <cellStyle name="Normal 4 2 2 6 3 2 2 2" xfId="16152" xr:uid="{0B78452C-9D3A-4F9E-8D0C-E692BA44468C}"/>
    <cellStyle name="Normal 4 2 2 6 3 2 3" xfId="11934" xr:uid="{CA9E37D9-A5FB-405B-9F7A-5C73ED711FE8}"/>
    <cellStyle name="Normal 4 2 2 6 3 3" xfId="5557" xr:uid="{00000000-0005-0000-0000-000012130000}"/>
    <cellStyle name="Normal 4 2 2 6 3 3 2" xfId="14007" xr:uid="{FED815B5-785D-4732-90CF-3DBC2E718344}"/>
    <cellStyle name="Normal 4 2 2 6 3 4" xfId="9789" xr:uid="{F3E13CF3-4AB7-4EDA-929B-33ED69390578}"/>
    <cellStyle name="Normal 4 2 2 6 4" xfId="1663" xr:uid="{00000000-0005-0000-0000-000013130000}"/>
    <cellStyle name="Normal 4 2 2 6 4 2" xfId="3893" xr:uid="{00000000-0005-0000-0000-000014130000}"/>
    <cellStyle name="Normal 4 2 2 6 4 2 2" xfId="8115" xr:uid="{00000000-0005-0000-0000-000015130000}"/>
    <cellStyle name="Normal 4 2 2 6 4 2 2 2" xfId="16565" xr:uid="{9917823E-5670-4F54-A605-CF9DA7FC8509}"/>
    <cellStyle name="Normal 4 2 2 6 4 2 3" xfId="12347" xr:uid="{FBDA2E42-F273-4391-B129-6129ABBC5BD1}"/>
    <cellStyle name="Normal 4 2 2 6 4 3" xfId="5970" xr:uid="{00000000-0005-0000-0000-000016130000}"/>
    <cellStyle name="Normal 4 2 2 6 4 3 2" xfId="14420" xr:uid="{039C3DB9-B28E-4BC0-8DB3-329535B30311}"/>
    <cellStyle name="Normal 4 2 2 6 4 4" xfId="10202" xr:uid="{516EE8F1-0EE9-4951-A975-F78789F681C9}"/>
    <cellStyle name="Normal 4 2 2 6 5" xfId="2077" xr:uid="{00000000-0005-0000-0000-000017130000}"/>
    <cellStyle name="Normal 4 2 2 6 5 2" xfId="4306" xr:uid="{00000000-0005-0000-0000-000018130000}"/>
    <cellStyle name="Normal 4 2 2 6 5 2 2" xfId="8528" xr:uid="{00000000-0005-0000-0000-000019130000}"/>
    <cellStyle name="Normal 4 2 2 6 5 2 2 2" xfId="16978" xr:uid="{40299B14-66FC-431C-A193-C2869B510FCB}"/>
    <cellStyle name="Normal 4 2 2 6 5 2 3" xfId="12760" xr:uid="{8F7CC637-D75C-4CBF-ACE1-FEA4FBF74FBF}"/>
    <cellStyle name="Normal 4 2 2 6 5 3" xfId="6383" xr:uid="{00000000-0005-0000-0000-00001A130000}"/>
    <cellStyle name="Normal 4 2 2 6 5 3 2" xfId="14833" xr:uid="{A2D2BD38-40CE-475A-A7CD-DC4925FF6C12}"/>
    <cellStyle name="Normal 4 2 2 6 5 4" xfId="10615" xr:uid="{5D96B3FA-F043-4FFA-AA1D-F03C57A0E64E}"/>
    <cellStyle name="Normal 4 2 2 6 6" xfId="2513" xr:uid="{00000000-0005-0000-0000-00001B130000}"/>
    <cellStyle name="Normal 4 2 2 6 6 2" xfId="6796" xr:uid="{00000000-0005-0000-0000-00001C130000}"/>
    <cellStyle name="Normal 4 2 2 6 6 2 2" xfId="15246" xr:uid="{0F2151F1-8E20-4406-8108-F6C7FD183EED}"/>
    <cellStyle name="Normal 4 2 2 6 6 3" xfId="11028" xr:uid="{ABDB2885-F4BA-4CEF-940E-8A370B7BCCEE}"/>
    <cellStyle name="Normal 4 2 2 6 7" xfId="4731" xr:uid="{00000000-0005-0000-0000-00001D130000}"/>
    <cellStyle name="Normal 4 2 2 6 7 2" xfId="13181" xr:uid="{3E2BF9D7-3B64-4C30-8753-2A9CB57F07AA}"/>
    <cellStyle name="Normal 4 2 2 6 8" xfId="8963" xr:uid="{EBC646DF-F87A-409A-AEA1-71ABCD72A2E8}"/>
    <cellStyle name="Normal 4 2 2 7" xfId="815" xr:uid="{00000000-0005-0000-0000-00001E130000}"/>
    <cellStyle name="Normal 4 2 2 7 2" xfId="3052" xr:uid="{00000000-0005-0000-0000-00001F130000}"/>
    <cellStyle name="Normal 4 2 2 7 2 2" xfId="7274" xr:uid="{00000000-0005-0000-0000-000020130000}"/>
    <cellStyle name="Normal 4 2 2 7 2 2 2" xfId="15724" xr:uid="{C1A95EE7-752A-479E-8948-AD417B39696D}"/>
    <cellStyle name="Normal 4 2 2 7 2 3" xfId="11506" xr:uid="{39C3A54D-9D41-4847-B7CA-D1E7BA029382}"/>
    <cellStyle name="Normal 4 2 2 7 3" xfId="5129" xr:uid="{00000000-0005-0000-0000-000021130000}"/>
    <cellStyle name="Normal 4 2 2 7 3 2" xfId="13579" xr:uid="{F020359C-C8C8-4280-814C-4994D6AD9DB5}"/>
    <cellStyle name="Normal 4 2 2 7 4" xfId="9361" xr:uid="{CFCEE5C1-CB8A-4A52-AAFF-844507BBD505}"/>
    <cellStyle name="Normal 4 2 2 8" xfId="1235" xr:uid="{00000000-0005-0000-0000-000022130000}"/>
    <cellStyle name="Normal 4 2 2 8 2" xfId="3465" xr:uid="{00000000-0005-0000-0000-000023130000}"/>
    <cellStyle name="Normal 4 2 2 8 2 2" xfId="7687" xr:uid="{00000000-0005-0000-0000-000024130000}"/>
    <cellStyle name="Normal 4 2 2 8 2 2 2" xfId="16137" xr:uid="{D26DFB56-BA8B-4AF8-B1D5-94E8D602123A}"/>
    <cellStyle name="Normal 4 2 2 8 2 3" xfId="11919" xr:uid="{9FE09B19-A619-4CFE-88B4-D9EE3A6A6DB3}"/>
    <cellStyle name="Normal 4 2 2 8 3" xfId="5542" xr:uid="{00000000-0005-0000-0000-000025130000}"/>
    <cellStyle name="Normal 4 2 2 8 3 2" xfId="13992" xr:uid="{616C31AA-1EE4-4636-A3A4-A230882288DA}"/>
    <cellStyle name="Normal 4 2 2 8 4" xfId="9774" xr:uid="{DE0F40B8-ADED-4831-95D0-46D33DD15EF3}"/>
    <cellStyle name="Normal 4 2 2 9" xfId="1648" xr:uid="{00000000-0005-0000-0000-000026130000}"/>
    <cellStyle name="Normal 4 2 2 9 2" xfId="3878" xr:uid="{00000000-0005-0000-0000-000027130000}"/>
    <cellStyle name="Normal 4 2 2 9 2 2" xfId="8100" xr:uid="{00000000-0005-0000-0000-000028130000}"/>
    <cellStyle name="Normal 4 2 2 9 2 2 2" xfId="16550" xr:uid="{38E258D5-DE95-40B8-956F-01A949943202}"/>
    <cellStyle name="Normal 4 2 2 9 2 3" xfId="12332" xr:uid="{1D058DE2-2178-4C55-945B-C2A512FCAFFB}"/>
    <cellStyle name="Normal 4 2 2 9 3" xfId="5955" xr:uid="{00000000-0005-0000-0000-000029130000}"/>
    <cellStyle name="Normal 4 2 2 9 3 2" xfId="14405" xr:uid="{0379EDA1-DE67-467E-A0FA-78326D6A582A}"/>
    <cellStyle name="Normal 4 2 2 9 4" xfId="10187" xr:uid="{503E7F3C-CAB3-45E0-8298-2738B6B02CFA}"/>
    <cellStyle name="Normal 4 2 3" xfId="354" xr:uid="{00000000-0005-0000-0000-00002A130000}"/>
    <cellStyle name="Normal 4 2 4" xfId="355" xr:uid="{00000000-0005-0000-0000-00002B130000}"/>
    <cellStyle name="Normal 4 2 4 10" xfId="4732" xr:uid="{00000000-0005-0000-0000-00002C130000}"/>
    <cellStyle name="Normal 4 2 4 10 2" xfId="13182" xr:uid="{7B682E5B-225F-48B6-9AE2-20BDD9DCE49C}"/>
    <cellStyle name="Normal 4 2 4 11" xfId="8964" xr:uid="{19FFE0D5-3516-49B3-BDFB-BCA508DCFF24}"/>
    <cellStyle name="Normal 4 2 4 2" xfId="356" xr:uid="{00000000-0005-0000-0000-00002D130000}"/>
    <cellStyle name="Normal 4 2 4 2 10" xfId="8965" xr:uid="{8FD90746-D959-404E-A434-0DFFF4E3B0AF}"/>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2 2 2" xfId="15743" xr:uid="{58B14B78-1024-49F5-BC24-9C1D50B5D026}"/>
    <cellStyle name="Normal 4 2 4 2 2 2 2 2 3" xfId="11525" xr:uid="{D7E7D908-7B31-4A42-8CEE-F30980E511F3}"/>
    <cellStyle name="Normal 4 2 4 2 2 2 2 3" xfId="5148" xr:uid="{00000000-0005-0000-0000-000033130000}"/>
    <cellStyle name="Normal 4 2 4 2 2 2 2 3 2" xfId="13598" xr:uid="{92EECC61-C6E0-4648-8455-6846667FA6FE}"/>
    <cellStyle name="Normal 4 2 4 2 2 2 2 4" xfId="9380" xr:uid="{90D50D96-8EF4-4E17-8A5B-4EF13552857D}"/>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2 2 2" xfId="16156" xr:uid="{D1B211ED-C000-4639-9C19-78B924280584}"/>
    <cellStyle name="Normal 4 2 4 2 2 2 3 2 3" xfId="11938" xr:uid="{160BE368-DD24-49E8-A079-7C5FFBF8CF26}"/>
    <cellStyle name="Normal 4 2 4 2 2 2 3 3" xfId="5561" xr:uid="{00000000-0005-0000-0000-000037130000}"/>
    <cellStyle name="Normal 4 2 4 2 2 2 3 3 2" xfId="14011" xr:uid="{1287AD44-B5C5-4B57-A765-6959FC94DA53}"/>
    <cellStyle name="Normal 4 2 4 2 2 2 3 4" xfId="9793" xr:uid="{AB4FF010-B284-4D11-A6A1-1B154951452A}"/>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2 2 2" xfId="16569" xr:uid="{D0F33381-CA41-421C-BE8E-9A2AE8FAC968}"/>
    <cellStyle name="Normal 4 2 4 2 2 2 4 2 3" xfId="12351" xr:uid="{9069AC3B-BEDE-4AAA-9002-9D394E6F2178}"/>
    <cellStyle name="Normal 4 2 4 2 2 2 4 3" xfId="5974" xr:uid="{00000000-0005-0000-0000-00003B130000}"/>
    <cellStyle name="Normal 4 2 4 2 2 2 4 3 2" xfId="14424" xr:uid="{C5A4CFD1-AEBF-472C-BA99-603457652BD3}"/>
    <cellStyle name="Normal 4 2 4 2 2 2 4 4" xfId="10206" xr:uid="{77AF7F1F-575E-45EE-85D8-308F6091494B}"/>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2 2 2" xfId="16982" xr:uid="{89EB2F34-6B22-4758-9C48-1279D698A7CB}"/>
    <cellStyle name="Normal 4 2 4 2 2 2 5 2 3" xfId="12764" xr:uid="{EB81F9CF-4C96-47D1-97B6-148FB46E50AE}"/>
    <cellStyle name="Normal 4 2 4 2 2 2 5 3" xfId="6387" xr:uid="{00000000-0005-0000-0000-00003F130000}"/>
    <cellStyle name="Normal 4 2 4 2 2 2 5 3 2" xfId="14837" xr:uid="{E989F085-604E-4CAE-8B8A-735F4D5EFA9C}"/>
    <cellStyle name="Normal 4 2 4 2 2 2 5 4" xfId="10619" xr:uid="{BBC0FFAC-D4EE-40CB-83E2-3F4C1B82D2B2}"/>
    <cellStyle name="Normal 4 2 4 2 2 2 6" xfId="2517" xr:uid="{00000000-0005-0000-0000-000040130000}"/>
    <cellStyle name="Normal 4 2 4 2 2 2 6 2" xfId="6800" xr:uid="{00000000-0005-0000-0000-000041130000}"/>
    <cellStyle name="Normal 4 2 4 2 2 2 6 2 2" xfId="15250" xr:uid="{D9B46E52-9FC3-4833-B695-4380F5480BDB}"/>
    <cellStyle name="Normal 4 2 4 2 2 2 6 3" xfId="11032" xr:uid="{514F81B9-8302-467C-8655-D515931D2E0D}"/>
    <cellStyle name="Normal 4 2 4 2 2 2 7" xfId="4735" xr:uid="{00000000-0005-0000-0000-000042130000}"/>
    <cellStyle name="Normal 4 2 4 2 2 2 7 2" xfId="13185" xr:uid="{8618FB99-D453-4C63-B2E5-A2BDDFA12405}"/>
    <cellStyle name="Normal 4 2 4 2 2 2 8" xfId="8967" xr:uid="{C2F16E8C-7D61-4DBC-A30A-01B2DFC8CBC1}"/>
    <cellStyle name="Normal 4 2 4 2 2 3" xfId="833" xr:uid="{00000000-0005-0000-0000-000043130000}"/>
    <cellStyle name="Normal 4 2 4 2 2 3 2" xfId="3070" xr:uid="{00000000-0005-0000-0000-000044130000}"/>
    <cellStyle name="Normal 4 2 4 2 2 3 2 2" xfId="7292" xr:uid="{00000000-0005-0000-0000-000045130000}"/>
    <cellStyle name="Normal 4 2 4 2 2 3 2 2 2" xfId="15742" xr:uid="{047784F1-ED8F-4AD7-A254-81745F2C0478}"/>
    <cellStyle name="Normal 4 2 4 2 2 3 2 3" xfId="11524" xr:uid="{BCEF51C7-FA89-45D8-BD0C-81F6A01F30E0}"/>
    <cellStyle name="Normal 4 2 4 2 2 3 3" xfId="5147" xr:uid="{00000000-0005-0000-0000-000046130000}"/>
    <cellStyle name="Normal 4 2 4 2 2 3 3 2" xfId="13597" xr:uid="{9D7EF157-9FE0-4A2C-AA2E-2A1986FE3330}"/>
    <cellStyle name="Normal 4 2 4 2 2 3 4" xfId="9379" xr:uid="{F41D921F-1CAB-47A4-8972-D63110EB079A}"/>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2 2 2" xfId="16155" xr:uid="{F84E7B6F-8F93-4BA6-9587-99658E58662A}"/>
    <cellStyle name="Normal 4 2 4 2 2 4 2 3" xfId="11937" xr:uid="{A0DB0F60-2259-48D3-B121-96F96C2343C3}"/>
    <cellStyle name="Normal 4 2 4 2 2 4 3" xfId="5560" xr:uid="{00000000-0005-0000-0000-00004A130000}"/>
    <cellStyle name="Normal 4 2 4 2 2 4 3 2" xfId="14010" xr:uid="{8C436440-D09C-458A-8CDB-8D512820D848}"/>
    <cellStyle name="Normal 4 2 4 2 2 4 4" xfId="9792" xr:uid="{C6795B15-19BE-4AEF-9607-8BF8B955C979}"/>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2 2 2" xfId="16568" xr:uid="{FB0C8343-32C0-45E4-9703-20EF374F526B}"/>
    <cellStyle name="Normal 4 2 4 2 2 5 2 3" xfId="12350" xr:uid="{B4947499-A794-4DAE-8FFF-6709F8C913D6}"/>
    <cellStyle name="Normal 4 2 4 2 2 5 3" xfId="5973" xr:uid="{00000000-0005-0000-0000-00004E130000}"/>
    <cellStyle name="Normal 4 2 4 2 2 5 3 2" xfId="14423" xr:uid="{2056EA9C-81C0-49EE-A796-5C5E32E90AD0}"/>
    <cellStyle name="Normal 4 2 4 2 2 5 4" xfId="10205" xr:uid="{3A5E4892-C456-4C37-8A8D-F33A1453AA3C}"/>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2 2 2" xfId="16981" xr:uid="{54CFE8C2-286C-4D0F-8046-084BBDF10C2A}"/>
    <cellStyle name="Normal 4 2 4 2 2 6 2 3" xfId="12763" xr:uid="{47EAD32E-E122-49D8-ADA2-C524A004EEE9}"/>
    <cellStyle name="Normal 4 2 4 2 2 6 3" xfId="6386" xr:uid="{00000000-0005-0000-0000-000052130000}"/>
    <cellStyle name="Normal 4 2 4 2 2 6 3 2" xfId="14836" xr:uid="{0BB28BC4-78FA-4177-97F1-C01ADC6A3883}"/>
    <cellStyle name="Normal 4 2 4 2 2 6 4" xfId="10618" xr:uid="{DC8D7C99-88ED-4CDF-948A-E018600E0987}"/>
    <cellStyle name="Normal 4 2 4 2 2 7" xfId="2516" xr:uid="{00000000-0005-0000-0000-000053130000}"/>
    <cellStyle name="Normal 4 2 4 2 2 7 2" xfId="6799" xr:uid="{00000000-0005-0000-0000-000054130000}"/>
    <cellStyle name="Normal 4 2 4 2 2 7 2 2" xfId="15249" xr:uid="{B3FC2BC0-1F9E-4B2C-8938-C093ECAA9623}"/>
    <cellStyle name="Normal 4 2 4 2 2 7 3" xfId="11031" xr:uid="{7AADBA38-019C-44D7-93EB-76D80D56EE0F}"/>
    <cellStyle name="Normal 4 2 4 2 2 8" xfId="4734" xr:uid="{00000000-0005-0000-0000-000055130000}"/>
    <cellStyle name="Normal 4 2 4 2 2 8 2" xfId="13184" xr:uid="{44F82313-CCE7-4172-B720-DD23959FF2F9}"/>
    <cellStyle name="Normal 4 2 4 2 2 9" xfId="8966" xr:uid="{8D495D9E-1DC2-43B1-960D-4F08612B6336}"/>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2 2 2" xfId="15744" xr:uid="{42D452E9-E715-4FF3-8C54-83CC24672426}"/>
    <cellStyle name="Normal 4 2 4 2 3 2 2 3" xfId="11526" xr:uid="{3717A6AD-DC4A-462D-B185-28574950517D}"/>
    <cellStyle name="Normal 4 2 4 2 3 2 3" xfId="5149" xr:uid="{00000000-0005-0000-0000-00005A130000}"/>
    <cellStyle name="Normal 4 2 4 2 3 2 3 2" xfId="13599" xr:uid="{BB892A9A-7A3A-4BAE-BAA5-C6AA4B78C699}"/>
    <cellStyle name="Normal 4 2 4 2 3 2 4" xfId="9381" xr:uid="{3B94828B-F071-4838-BCCD-63FF6760F731}"/>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2 2 2" xfId="16157" xr:uid="{104E9F5A-42FE-4B92-8425-AA518104793D}"/>
    <cellStyle name="Normal 4 2 4 2 3 3 2 3" xfId="11939" xr:uid="{BFD4981D-F90C-4317-B404-61B592CBE863}"/>
    <cellStyle name="Normal 4 2 4 2 3 3 3" xfId="5562" xr:uid="{00000000-0005-0000-0000-00005E130000}"/>
    <cellStyle name="Normal 4 2 4 2 3 3 3 2" xfId="14012" xr:uid="{CADA55E6-AD98-4682-8D3B-FF6F295A3F9D}"/>
    <cellStyle name="Normal 4 2 4 2 3 3 4" xfId="9794" xr:uid="{3AAB0AE6-2A05-4585-B472-161626BDF8D1}"/>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2 2 2" xfId="16570" xr:uid="{A6470C14-82CB-4A34-97A3-1DFD571616A0}"/>
    <cellStyle name="Normal 4 2 4 2 3 4 2 3" xfId="12352" xr:uid="{079046C3-EA0C-448E-8B21-002DDCEB72AD}"/>
    <cellStyle name="Normal 4 2 4 2 3 4 3" xfId="5975" xr:uid="{00000000-0005-0000-0000-000062130000}"/>
    <cellStyle name="Normal 4 2 4 2 3 4 3 2" xfId="14425" xr:uid="{0F30D71F-FE5E-4CB3-A4FC-11F9AC1A58A9}"/>
    <cellStyle name="Normal 4 2 4 2 3 4 4" xfId="10207" xr:uid="{D37AB213-EEB7-4294-9989-BC72FE442F36}"/>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2 2 2" xfId="16983" xr:uid="{B7CF2BB1-E083-46BD-AB6F-36D300C8E814}"/>
    <cellStyle name="Normal 4 2 4 2 3 5 2 3" xfId="12765" xr:uid="{A67B18F8-3A24-4052-9E7D-4C64089EC5C1}"/>
    <cellStyle name="Normal 4 2 4 2 3 5 3" xfId="6388" xr:uid="{00000000-0005-0000-0000-000066130000}"/>
    <cellStyle name="Normal 4 2 4 2 3 5 3 2" xfId="14838" xr:uid="{E0902972-3BBB-49BF-A11E-8620BFA34C21}"/>
    <cellStyle name="Normal 4 2 4 2 3 5 4" xfId="10620" xr:uid="{9C4B2CC6-AA9C-441C-9582-6DAF3EE4E5A8}"/>
    <cellStyle name="Normal 4 2 4 2 3 6" xfId="2518" xr:uid="{00000000-0005-0000-0000-000067130000}"/>
    <cellStyle name="Normal 4 2 4 2 3 6 2" xfId="6801" xr:uid="{00000000-0005-0000-0000-000068130000}"/>
    <cellStyle name="Normal 4 2 4 2 3 6 2 2" xfId="15251" xr:uid="{A4244637-911E-40F4-9025-D91245792C61}"/>
    <cellStyle name="Normal 4 2 4 2 3 6 3" xfId="11033" xr:uid="{C9D268DC-B883-4A8E-80DA-B6936047F534}"/>
    <cellStyle name="Normal 4 2 4 2 3 7" xfId="4736" xr:uid="{00000000-0005-0000-0000-000069130000}"/>
    <cellStyle name="Normal 4 2 4 2 3 7 2" xfId="13186" xr:uid="{FF732C37-F51D-49E7-8ADD-6291F289AE10}"/>
    <cellStyle name="Normal 4 2 4 2 3 8" xfId="8968" xr:uid="{3E7FB073-A517-40CF-98B9-BC86F5419B4F}"/>
    <cellStyle name="Normal 4 2 4 2 4" xfId="832" xr:uid="{00000000-0005-0000-0000-00006A130000}"/>
    <cellStyle name="Normal 4 2 4 2 4 2" xfId="3069" xr:uid="{00000000-0005-0000-0000-00006B130000}"/>
    <cellStyle name="Normal 4 2 4 2 4 2 2" xfId="7291" xr:uid="{00000000-0005-0000-0000-00006C130000}"/>
    <cellStyle name="Normal 4 2 4 2 4 2 2 2" xfId="15741" xr:uid="{EF78F1BD-27D5-490A-9F84-BA992A45CBAC}"/>
    <cellStyle name="Normal 4 2 4 2 4 2 3" xfId="11523" xr:uid="{D0EBB343-ED79-4FFD-B1F8-25D1838B2302}"/>
    <cellStyle name="Normal 4 2 4 2 4 3" xfId="5146" xr:uid="{00000000-0005-0000-0000-00006D130000}"/>
    <cellStyle name="Normal 4 2 4 2 4 3 2" xfId="13596" xr:uid="{04F0088D-5AA0-411D-8B71-FFD6B20FD905}"/>
    <cellStyle name="Normal 4 2 4 2 4 4" xfId="9378" xr:uid="{7824B72A-FD7F-4EA4-B003-2AC7828EF3DF}"/>
    <cellStyle name="Normal 4 2 4 2 5" xfId="1252" xr:uid="{00000000-0005-0000-0000-00006E130000}"/>
    <cellStyle name="Normal 4 2 4 2 5 2" xfId="3482" xr:uid="{00000000-0005-0000-0000-00006F130000}"/>
    <cellStyle name="Normal 4 2 4 2 5 2 2" xfId="7704" xr:uid="{00000000-0005-0000-0000-000070130000}"/>
    <cellStyle name="Normal 4 2 4 2 5 2 2 2" xfId="16154" xr:uid="{AC3D1C70-52B4-4991-97FF-14470C94C622}"/>
    <cellStyle name="Normal 4 2 4 2 5 2 3" xfId="11936" xr:uid="{5C794144-46AB-47D0-950D-61EF7E291BA1}"/>
    <cellStyle name="Normal 4 2 4 2 5 3" xfId="5559" xr:uid="{00000000-0005-0000-0000-000071130000}"/>
    <cellStyle name="Normal 4 2 4 2 5 3 2" xfId="14009" xr:uid="{F7A33AA4-78B0-45BF-A406-49AABF8FD9B7}"/>
    <cellStyle name="Normal 4 2 4 2 5 4" xfId="9791" xr:uid="{5BDA443E-FA1F-4F0D-8205-B4CFD5A68F3F}"/>
    <cellStyle name="Normal 4 2 4 2 6" xfId="1665" xr:uid="{00000000-0005-0000-0000-000072130000}"/>
    <cellStyle name="Normal 4 2 4 2 6 2" xfId="3895" xr:uid="{00000000-0005-0000-0000-000073130000}"/>
    <cellStyle name="Normal 4 2 4 2 6 2 2" xfId="8117" xr:uid="{00000000-0005-0000-0000-000074130000}"/>
    <cellStyle name="Normal 4 2 4 2 6 2 2 2" xfId="16567" xr:uid="{3D1ED034-DFB1-4A2F-87CD-0B548E6D8034}"/>
    <cellStyle name="Normal 4 2 4 2 6 2 3" xfId="12349" xr:uid="{7A30E297-6F6B-49F4-9951-D2BA04804429}"/>
    <cellStyle name="Normal 4 2 4 2 6 3" xfId="5972" xr:uid="{00000000-0005-0000-0000-000075130000}"/>
    <cellStyle name="Normal 4 2 4 2 6 3 2" xfId="14422" xr:uid="{0E7EB368-A3A4-4208-A913-CE4A02CDE5B7}"/>
    <cellStyle name="Normal 4 2 4 2 6 4" xfId="10204" xr:uid="{8279507A-605B-4330-BD02-124C3860AB7E}"/>
    <cellStyle name="Normal 4 2 4 2 7" xfId="2079" xr:uid="{00000000-0005-0000-0000-000076130000}"/>
    <cellStyle name="Normal 4 2 4 2 7 2" xfId="4308" xr:uid="{00000000-0005-0000-0000-000077130000}"/>
    <cellStyle name="Normal 4 2 4 2 7 2 2" xfId="8530" xr:uid="{00000000-0005-0000-0000-000078130000}"/>
    <cellStyle name="Normal 4 2 4 2 7 2 2 2" xfId="16980" xr:uid="{20B52C0A-E87D-490E-9BFF-B4CFCFCC7370}"/>
    <cellStyle name="Normal 4 2 4 2 7 2 3" xfId="12762" xr:uid="{DE259CEC-1F29-468D-91C8-3AA0A88F8C7A}"/>
    <cellStyle name="Normal 4 2 4 2 7 3" xfId="6385" xr:uid="{00000000-0005-0000-0000-000079130000}"/>
    <cellStyle name="Normal 4 2 4 2 7 3 2" xfId="14835" xr:uid="{9E4B8F10-58D1-42AC-B943-BCE9B90B5A77}"/>
    <cellStyle name="Normal 4 2 4 2 7 4" xfId="10617" xr:uid="{008C37C7-E31E-4E14-8EA7-5CC4D6C22E4A}"/>
    <cellStyle name="Normal 4 2 4 2 8" xfId="2515" xr:uid="{00000000-0005-0000-0000-00007A130000}"/>
    <cellStyle name="Normal 4 2 4 2 8 2" xfId="6798" xr:uid="{00000000-0005-0000-0000-00007B130000}"/>
    <cellStyle name="Normal 4 2 4 2 8 2 2" xfId="15248" xr:uid="{7EFAD6D0-CF19-413A-9C56-DC36B03AB075}"/>
    <cellStyle name="Normal 4 2 4 2 8 3" xfId="11030" xr:uid="{2C9305B4-C59C-43DF-A206-0FCE5FC40E6B}"/>
    <cellStyle name="Normal 4 2 4 2 9" xfId="4733" xr:uid="{00000000-0005-0000-0000-00007C130000}"/>
    <cellStyle name="Normal 4 2 4 2 9 2" xfId="13183" xr:uid="{7F128ECE-4D99-4A15-8F5B-EE51117BE45B}"/>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2 2 2" xfId="15746" xr:uid="{1B5E43C1-4B57-4A8E-A8D9-9C4895F4A6C5}"/>
    <cellStyle name="Normal 4 2 4 3 2 2 2 3" xfId="11528" xr:uid="{C8137AC8-8987-4F70-84E3-CF3022BA4061}"/>
    <cellStyle name="Normal 4 2 4 3 2 2 3" xfId="5151" xr:uid="{00000000-0005-0000-0000-000082130000}"/>
    <cellStyle name="Normal 4 2 4 3 2 2 3 2" xfId="13601" xr:uid="{9F79708F-49F0-42AB-9093-D7A123C126A1}"/>
    <cellStyle name="Normal 4 2 4 3 2 2 4" xfId="9383" xr:uid="{DB32FE26-E0C6-4DAC-BB98-0A94E5CD7A9C}"/>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2 2 2" xfId="16159" xr:uid="{9FDF4BA6-0808-451C-A641-E1370554A859}"/>
    <cellStyle name="Normal 4 2 4 3 2 3 2 3" xfId="11941" xr:uid="{073286F5-EEA6-4C2E-8CAB-AD8A38FB38A8}"/>
    <cellStyle name="Normal 4 2 4 3 2 3 3" xfId="5564" xr:uid="{00000000-0005-0000-0000-000086130000}"/>
    <cellStyle name="Normal 4 2 4 3 2 3 3 2" xfId="14014" xr:uid="{7A5B0E25-A8AC-402F-A99C-5DFB2BD6F366}"/>
    <cellStyle name="Normal 4 2 4 3 2 3 4" xfId="9796" xr:uid="{E9FD06AC-8E66-47D3-A7ED-7E8466B36AD7}"/>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2 2 2" xfId="16572" xr:uid="{874AA729-39FF-4BD4-B975-A0B5BA3B4D55}"/>
    <cellStyle name="Normal 4 2 4 3 2 4 2 3" xfId="12354" xr:uid="{B53FE2BE-8013-4731-BF92-EB6789A6F0BD}"/>
    <cellStyle name="Normal 4 2 4 3 2 4 3" xfId="5977" xr:uid="{00000000-0005-0000-0000-00008A130000}"/>
    <cellStyle name="Normal 4 2 4 3 2 4 3 2" xfId="14427" xr:uid="{69FC16AC-38CB-424E-AFDF-56A6FEB75EAD}"/>
    <cellStyle name="Normal 4 2 4 3 2 4 4" xfId="10209" xr:uid="{5FD05660-5919-4E37-AA72-F0C181FE3BA4}"/>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2 2 2" xfId="16985" xr:uid="{ABEC125F-0319-411D-8E1F-9190F31C3609}"/>
    <cellStyle name="Normal 4 2 4 3 2 5 2 3" xfId="12767" xr:uid="{9F6145BA-9947-4BE0-950D-387D7D86E7CF}"/>
    <cellStyle name="Normal 4 2 4 3 2 5 3" xfId="6390" xr:uid="{00000000-0005-0000-0000-00008E130000}"/>
    <cellStyle name="Normal 4 2 4 3 2 5 3 2" xfId="14840" xr:uid="{D134C738-80A6-4C60-8230-7B5CB199A1D4}"/>
    <cellStyle name="Normal 4 2 4 3 2 5 4" xfId="10622" xr:uid="{F2062B9B-382F-4FA2-8430-ACFDA3C0557F}"/>
    <cellStyle name="Normal 4 2 4 3 2 6" xfId="2520" xr:uid="{00000000-0005-0000-0000-00008F130000}"/>
    <cellStyle name="Normal 4 2 4 3 2 6 2" xfId="6803" xr:uid="{00000000-0005-0000-0000-000090130000}"/>
    <cellStyle name="Normal 4 2 4 3 2 6 2 2" xfId="15253" xr:uid="{A2FF8AB5-CB51-4C20-AAE7-9BB387BE6FF6}"/>
    <cellStyle name="Normal 4 2 4 3 2 6 3" xfId="11035" xr:uid="{CC23B61D-5F11-466C-B87D-A1CAB906BE59}"/>
    <cellStyle name="Normal 4 2 4 3 2 7" xfId="4738" xr:uid="{00000000-0005-0000-0000-000091130000}"/>
    <cellStyle name="Normal 4 2 4 3 2 7 2" xfId="13188" xr:uid="{C2482C9F-8F8A-4EB7-B9BD-EEAE12575B3E}"/>
    <cellStyle name="Normal 4 2 4 3 2 8" xfId="8970" xr:uid="{66AA6ED0-D1DA-47D8-A2EE-4C6FCE4424CA}"/>
    <cellStyle name="Normal 4 2 4 3 3" xfId="836" xr:uid="{00000000-0005-0000-0000-000092130000}"/>
    <cellStyle name="Normal 4 2 4 3 3 2" xfId="3073" xr:uid="{00000000-0005-0000-0000-000093130000}"/>
    <cellStyle name="Normal 4 2 4 3 3 2 2" xfId="7295" xr:uid="{00000000-0005-0000-0000-000094130000}"/>
    <cellStyle name="Normal 4 2 4 3 3 2 2 2" xfId="15745" xr:uid="{B77002E9-48A1-4ECE-8081-DADB1288C715}"/>
    <cellStyle name="Normal 4 2 4 3 3 2 3" xfId="11527" xr:uid="{64D3ED6A-1D80-498E-9F85-A91AE5A4FDB8}"/>
    <cellStyle name="Normal 4 2 4 3 3 3" xfId="5150" xr:uid="{00000000-0005-0000-0000-000095130000}"/>
    <cellStyle name="Normal 4 2 4 3 3 3 2" xfId="13600" xr:uid="{6B03C072-5D10-4605-8438-7D3E04F244C1}"/>
    <cellStyle name="Normal 4 2 4 3 3 4" xfId="9382" xr:uid="{0FE34B08-2618-493C-98EE-DB5DE2153101}"/>
    <cellStyle name="Normal 4 2 4 3 4" xfId="1256" xr:uid="{00000000-0005-0000-0000-000096130000}"/>
    <cellStyle name="Normal 4 2 4 3 4 2" xfId="3486" xr:uid="{00000000-0005-0000-0000-000097130000}"/>
    <cellStyle name="Normal 4 2 4 3 4 2 2" xfId="7708" xr:uid="{00000000-0005-0000-0000-000098130000}"/>
    <cellStyle name="Normal 4 2 4 3 4 2 2 2" xfId="16158" xr:uid="{F6A971C4-CFA2-4B4F-9BA1-159A3724EB0C}"/>
    <cellStyle name="Normal 4 2 4 3 4 2 3" xfId="11940" xr:uid="{CA6A7EBC-68A7-413B-904C-17C488C7F952}"/>
    <cellStyle name="Normal 4 2 4 3 4 3" xfId="5563" xr:uid="{00000000-0005-0000-0000-000099130000}"/>
    <cellStyle name="Normal 4 2 4 3 4 3 2" xfId="14013" xr:uid="{23C4AB3A-6024-4C90-A2C6-1174122A7E14}"/>
    <cellStyle name="Normal 4 2 4 3 4 4" xfId="9795" xr:uid="{6A5CF576-7E43-4DD6-B9B9-6FF8E788630D}"/>
    <cellStyle name="Normal 4 2 4 3 5" xfId="1669" xr:uid="{00000000-0005-0000-0000-00009A130000}"/>
    <cellStyle name="Normal 4 2 4 3 5 2" xfId="3899" xr:uid="{00000000-0005-0000-0000-00009B130000}"/>
    <cellStyle name="Normal 4 2 4 3 5 2 2" xfId="8121" xr:uid="{00000000-0005-0000-0000-00009C130000}"/>
    <cellStyle name="Normal 4 2 4 3 5 2 2 2" xfId="16571" xr:uid="{A7A29984-6CD0-49E4-8F9E-DA9D74DE1B15}"/>
    <cellStyle name="Normal 4 2 4 3 5 2 3" xfId="12353" xr:uid="{17F89D80-D692-4557-A085-6332F6CBDA86}"/>
    <cellStyle name="Normal 4 2 4 3 5 3" xfId="5976" xr:uid="{00000000-0005-0000-0000-00009D130000}"/>
    <cellStyle name="Normal 4 2 4 3 5 3 2" xfId="14426" xr:uid="{F47CEED2-0759-4562-B4EE-D39392A5B819}"/>
    <cellStyle name="Normal 4 2 4 3 5 4" xfId="10208" xr:uid="{C83E45D4-1A47-49F7-9862-558E228E5524}"/>
    <cellStyle name="Normal 4 2 4 3 6" xfId="2083" xr:uid="{00000000-0005-0000-0000-00009E130000}"/>
    <cellStyle name="Normal 4 2 4 3 6 2" xfId="4312" xr:uid="{00000000-0005-0000-0000-00009F130000}"/>
    <cellStyle name="Normal 4 2 4 3 6 2 2" xfId="8534" xr:uid="{00000000-0005-0000-0000-0000A0130000}"/>
    <cellStyle name="Normal 4 2 4 3 6 2 2 2" xfId="16984" xr:uid="{02E542A2-C300-41C2-8029-2F0BBC16CC2D}"/>
    <cellStyle name="Normal 4 2 4 3 6 2 3" xfId="12766" xr:uid="{1CB8F1DC-C1D8-489D-9DAD-A672D59056FD}"/>
    <cellStyle name="Normal 4 2 4 3 6 3" xfId="6389" xr:uid="{00000000-0005-0000-0000-0000A1130000}"/>
    <cellStyle name="Normal 4 2 4 3 6 3 2" xfId="14839" xr:uid="{2235DC6E-B926-4331-98B0-40F511859850}"/>
    <cellStyle name="Normal 4 2 4 3 6 4" xfId="10621" xr:uid="{5B8DB423-E8B9-4A86-AD1C-6C0221E442C8}"/>
    <cellStyle name="Normal 4 2 4 3 7" xfId="2519" xr:uid="{00000000-0005-0000-0000-0000A2130000}"/>
    <cellStyle name="Normal 4 2 4 3 7 2" xfId="6802" xr:uid="{00000000-0005-0000-0000-0000A3130000}"/>
    <cellStyle name="Normal 4 2 4 3 7 2 2" xfId="15252" xr:uid="{4F6C9564-AE3D-45F2-88C0-55473669BFDD}"/>
    <cellStyle name="Normal 4 2 4 3 7 3" xfId="11034" xr:uid="{AA188336-E898-44DC-BE50-86FACC22CE3D}"/>
    <cellStyle name="Normal 4 2 4 3 8" xfId="4737" xr:uid="{00000000-0005-0000-0000-0000A4130000}"/>
    <cellStyle name="Normal 4 2 4 3 8 2" xfId="13187" xr:uid="{F56B587A-238F-421C-81D2-9FB7B474B4D2}"/>
    <cellStyle name="Normal 4 2 4 3 9" xfId="8969" xr:uid="{92677E6D-6FD2-4E63-B111-389AE7334175}"/>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2 2 2" xfId="15747" xr:uid="{E8900490-45FF-4C27-A634-E44C955CD34A}"/>
    <cellStyle name="Normal 4 2 4 4 2 2 3" xfId="11529" xr:uid="{04A21713-1E17-4592-8E6F-4AA5782E5A3C}"/>
    <cellStyle name="Normal 4 2 4 4 2 3" xfId="5152" xr:uid="{00000000-0005-0000-0000-0000A9130000}"/>
    <cellStyle name="Normal 4 2 4 4 2 3 2" xfId="13602" xr:uid="{514738E2-5EE2-436D-8986-21042D713CEC}"/>
    <cellStyle name="Normal 4 2 4 4 2 4" xfId="9384" xr:uid="{FE952D05-6739-45DC-82FA-1BDBC0E184F1}"/>
    <cellStyle name="Normal 4 2 4 4 3" xfId="1258" xr:uid="{00000000-0005-0000-0000-0000AA130000}"/>
    <cellStyle name="Normal 4 2 4 4 3 2" xfId="3488" xr:uid="{00000000-0005-0000-0000-0000AB130000}"/>
    <cellStyle name="Normal 4 2 4 4 3 2 2" xfId="7710" xr:uid="{00000000-0005-0000-0000-0000AC130000}"/>
    <cellStyle name="Normal 4 2 4 4 3 2 2 2" xfId="16160" xr:uid="{DA601428-2C73-43E9-A3B0-032C52D2A9C8}"/>
    <cellStyle name="Normal 4 2 4 4 3 2 3" xfId="11942" xr:uid="{26768002-595A-4FAE-8558-E3F2CD5F72E8}"/>
    <cellStyle name="Normal 4 2 4 4 3 3" xfId="5565" xr:uid="{00000000-0005-0000-0000-0000AD130000}"/>
    <cellStyle name="Normal 4 2 4 4 3 3 2" xfId="14015" xr:uid="{2EE150A8-B7E2-4E4B-ADA9-A1F72D9C526E}"/>
    <cellStyle name="Normal 4 2 4 4 3 4" xfId="9797" xr:uid="{7E5060CB-1C69-49CB-8691-EB7253640EB0}"/>
    <cellStyle name="Normal 4 2 4 4 4" xfId="1671" xr:uid="{00000000-0005-0000-0000-0000AE130000}"/>
    <cellStyle name="Normal 4 2 4 4 4 2" xfId="3901" xr:uid="{00000000-0005-0000-0000-0000AF130000}"/>
    <cellStyle name="Normal 4 2 4 4 4 2 2" xfId="8123" xr:uid="{00000000-0005-0000-0000-0000B0130000}"/>
    <cellStyle name="Normal 4 2 4 4 4 2 2 2" xfId="16573" xr:uid="{CD66BBD4-EAFB-4E8C-BBB9-A868499813ED}"/>
    <cellStyle name="Normal 4 2 4 4 4 2 3" xfId="12355" xr:uid="{E3241165-FDF0-4E14-991F-9728BF37C0B7}"/>
    <cellStyle name="Normal 4 2 4 4 4 3" xfId="5978" xr:uid="{00000000-0005-0000-0000-0000B1130000}"/>
    <cellStyle name="Normal 4 2 4 4 4 3 2" xfId="14428" xr:uid="{08C1B9C7-1A52-4936-B3A0-FF32B24F31BE}"/>
    <cellStyle name="Normal 4 2 4 4 4 4" xfId="10210" xr:uid="{3FB28B92-247D-4107-BC51-9E713E1C638F}"/>
    <cellStyle name="Normal 4 2 4 4 5" xfId="2085" xr:uid="{00000000-0005-0000-0000-0000B2130000}"/>
    <cellStyle name="Normal 4 2 4 4 5 2" xfId="4314" xr:uid="{00000000-0005-0000-0000-0000B3130000}"/>
    <cellStyle name="Normal 4 2 4 4 5 2 2" xfId="8536" xr:uid="{00000000-0005-0000-0000-0000B4130000}"/>
    <cellStyle name="Normal 4 2 4 4 5 2 2 2" xfId="16986" xr:uid="{EF152025-F171-4C30-8D11-37652B59A8B4}"/>
    <cellStyle name="Normal 4 2 4 4 5 2 3" xfId="12768" xr:uid="{2510FB3A-0DEF-4217-ADE1-851FB88A6485}"/>
    <cellStyle name="Normal 4 2 4 4 5 3" xfId="6391" xr:uid="{00000000-0005-0000-0000-0000B5130000}"/>
    <cellStyle name="Normal 4 2 4 4 5 3 2" xfId="14841" xr:uid="{BAF932C9-3D50-4103-9663-2CFE3450E6E7}"/>
    <cellStyle name="Normal 4 2 4 4 5 4" xfId="10623" xr:uid="{0851B672-407A-4AA3-A0C4-2CFCEFDE6F7D}"/>
    <cellStyle name="Normal 4 2 4 4 6" xfId="2521" xr:uid="{00000000-0005-0000-0000-0000B6130000}"/>
    <cellStyle name="Normal 4 2 4 4 6 2" xfId="6804" xr:uid="{00000000-0005-0000-0000-0000B7130000}"/>
    <cellStyle name="Normal 4 2 4 4 6 2 2" xfId="15254" xr:uid="{F6E76067-7BDA-4902-B229-D2207F96F5F6}"/>
    <cellStyle name="Normal 4 2 4 4 6 3" xfId="11036" xr:uid="{4BB93FAB-3F32-455F-A30B-0AD38205066F}"/>
    <cellStyle name="Normal 4 2 4 4 7" xfId="4739" xr:uid="{00000000-0005-0000-0000-0000B8130000}"/>
    <cellStyle name="Normal 4 2 4 4 7 2" xfId="13189" xr:uid="{CC715694-46B7-47E0-BD81-1103425BC72E}"/>
    <cellStyle name="Normal 4 2 4 4 8" xfId="8971" xr:uid="{E1D52336-2CE5-4136-87EF-7FECD59579CB}"/>
    <cellStyle name="Normal 4 2 4 5" xfId="831" xr:uid="{00000000-0005-0000-0000-0000B9130000}"/>
    <cellStyle name="Normal 4 2 4 5 2" xfId="3068" xr:uid="{00000000-0005-0000-0000-0000BA130000}"/>
    <cellStyle name="Normal 4 2 4 5 2 2" xfId="7290" xr:uid="{00000000-0005-0000-0000-0000BB130000}"/>
    <cellStyle name="Normal 4 2 4 5 2 2 2" xfId="15740" xr:uid="{952F2EA4-8A8D-414A-94D9-CA49B603E5DE}"/>
    <cellStyle name="Normal 4 2 4 5 2 3" xfId="11522" xr:uid="{558F8C89-84D3-4CFE-83E1-8D717FA7B48F}"/>
    <cellStyle name="Normal 4 2 4 5 3" xfId="5145" xr:uid="{00000000-0005-0000-0000-0000BC130000}"/>
    <cellStyle name="Normal 4 2 4 5 3 2" xfId="13595" xr:uid="{C3DBA6E0-13DD-4578-87C9-9A072A4DA9D4}"/>
    <cellStyle name="Normal 4 2 4 5 4" xfId="9377" xr:uid="{666049D3-5251-4723-95F2-B1D60EEF2227}"/>
    <cellStyle name="Normal 4 2 4 6" xfId="1251" xr:uid="{00000000-0005-0000-0000-0000BD130000}"/>
    <cellStyle name="Normal 4 2 4 6 2" xfId="3481" xr:uid="{00000000-0005-0000-0000-0000BE130000}"/>
    <cellStyle name="Normal 4 2 4 6 2 2" xfId="7703" xr:uid="{00000000-0005-0000-0000-0000BF130000}"/>
    <cellStyle name="Normal 4 2 4 6 2 2 2" xfId="16153" xr:uid="{3F2C6D3C-B878-4ED1-A166-184A99FA8938}"/>
    <cellStyle name="Normal 4 2 4 6 2 3" xfId="11935" xr:uid="{D77FE887-19DE-413E-83A0-F7EF99BA5D57}"/>
    <cellStyle name="Normal 4 2 4 6 3" xfId="5558" xr:uid="{00000000-0005-0000-0000-0000C0130000}"/>
    <cellStyle name="Normal 4 2 4 6 3 2" xfId="14008" xr:uid="{EEEB1EE5-FA8C-4974-A561-2AE37DCA96DC}"/>
    <cellStyle name="Normal 4 2 4 6 4" xfId="9790" xr:uid="{0EAF1648-C02E-4DCD-BD30-25E4F5C3C8D7}"/>
    <cellStyle name="Normal 4 2 4 7" xfId="1664" xr:uid="{00000000-0005-0000-0000-0000C1130000}"/>
    <cellStyle name="Normal 4 2 4 7 2" xfId="3894" xr:uid="{00000000-0005-0000-0000-0000C2130000}"/>
    <cellStyle name="Normal 4 2 4 7 2 2" xfId="8116" xr:uid="{00000000-0005-0000-0000-0000C3130000}"/>
    <cellStyle name="Normal 4 2 4 7 2 2 2" xfId="16566" xr:uid="{F11C9308-1434-4D38-A92B-BC6D92728D36}"/>
    <cellStyle name="Normal 4 2 4 7 2 3" xfId="12348" xr:uid="{D34BE2E3-B8A9-4E4B-836B-57E399A034AD}"/>
    <cellStyle name="Normal 4 2 4 7 3" xfId="5971" xr:uid="{00000000-0005-0000-0000-0000C4130000}"/>
    <cellStyle name="Normal 4 2 4 7 3 2" xfId="14421" xr:uid="{9275382A-9555-489A-930F-39B0CC6408B5}"/>
    <cellStyle name="Normal 4 2 4 7 4" xfId="10203" xr:uid="{5AAD6729-F316-44C3-A427-4F34E9A3978B}"/>
    <cellStyle name="Normal 4 2 4 8" xfId="2078" xr:uid="{00000000-0005-0000-0000-0000C5130000}"/>
    <cellStyle name="Normal 4 2 4 8 2" xfId="4307" xr:uid="{00000000-0005-0000-0000-0000C6130000}"/>
    <cellStyle name="Normal 4 2 4 8 2 2" xfId="8529" xr:uid="{00000000-0005-0000-0000-0000C7130000}"/>
    <cellStyle name="Normal 4 2 4 8 2 2 2" xfId="16979" xr:uid="{5A99402C-9F82-4056-972E-C47864FFBC12}"/>
    <cellStyle name="Normal 4 2 4 8 2 3" xfId="12761" xr:uid="{C6A801C9-E4A0-476E-9CB8-7550306895F1}"/>
    <cellStyle name="Normal 4 2 4 8 3" xfId="6384" xr:uid="{00000000-0005-0000-0000-0000C8130000}"/>
    <cellStyle name="Normal 4 2 4 8 3 2" xfId="14834" xr:uid="{AE6BFDD4-3245-4013-9728-30C750FBC882}"/>
    <cellStyle name="Normal 4 2 4 8 4" xfId="10616" xr:uid="{E8BDFEEC-BCF6-4F87-9F9F-2B7AE31E6AC2}"/>
    <cellStyle name="Normal 4 2 4 9" xfId="2514" xr:uid="{00000000-0005-0000-0000-0000C9130000}"/>
    <cellStyle name="Normal 4 2 4 9 2" xfId="6797" xr:uid="{00000000-0005-0000-0000-0000CA130000}"/>
    <cellStyle name="Normal 4 2 4 9 2 2" xfId="15247" xr:uid="{C9348F6B-F859-463B-B6F8-A093C1F15BDA}"/>
    <cellStyle name="Normal 4 2 4 9 3" xfId="11029" xr:uid="{4C81D47A-DF36-4B58-9A7E-57E50B3289AC}"/>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2 2 2" xfId="15749" xr:uid="{852260CA-2B8F-4BC8-A4A5-6039170FE05B}"/>
    <cellStyle name="Normal 4 2 5 2 2 2 3" xfId="11531" xr:uid="{C85E16FC-7394-43E3-836A-121FE95F1E6D}"/>
    <cellStyle name="Normal 4 2 5 2 2 3" xfId="5154" xr:uid="{00000000-0005-0000-0000-0000D0130000}"/>
    <cellStyle name="Normal 4 2 5 2 2 3 2" xfId="13604" xr:uid="{8071465C-D0AF-4C06-ABEF-E9E7EB6D3A73}"/>
    <cellStyle name="Normal 4 2 5 2 2 4" xfId="9386" xr:uid="{CDB2FBD2-4573-44F8-B6AB-20A898642F1B}"/>
    <cellStyle name="Normal 4 2 5 2 3" xfId="1260" xr:uid="{00000000-0005-0000-0000-0000D1130000}"/>
    <cellStyle name="Normal 4 2 5 2 3 2" xfId="3490" xr:uid="{00000000-0005-0000-0000-0000D2130000}"/>
    <cellStyle name="Normal 4 2 5 2 3 2 2" xfId="7712" xr:uid="{00000000-0005-0000-0000-0000D3130000}"/>
    <cellStyle name="Normal 4 2 5 2 3 2 2 2" xfId="16162" xr:uid="{41445EB5-35B8-40DE-8BE1-5F3795AEAB6D}"/>
    <cellStyle name="Normal 4 2 5 2 3 2 3" xfId="11944" xr:uid="{EDCEE5FE-B9E6-4376-B3F5-1FDD64106985}"/>
    <cellStyle name="Normal 4 2 5 2 3 3" xfId="5567" xr:uid="{00000000-0005-0000-0000-0000D4130000}"/>
    <cellStyle name="Normal 4 2 5 2 3 3 2" xfId="14017" xr:uid="{CAB96186-1A75-4898-8594-3EC62084F947}"/>
    <cellStyle name="Normal 4 2 5 2 3 4" xfId="9799" xr:uid="{AF509FA3-FFE0-4575-B721-0C8FCAF0DBDF}"/>
    <cellStyle name="Normal 4 2 5 2 4" xfId="1673" xr:uid="{00000000-0005-0000-0000-0000D5130000}"/>
    <cellStyle name="Normal 4 2 5 2 4 2" xfId="3903" xr:uid="{00000000-0005-0000-0000-0000D6130000}"/>
    <cellStyle name="Normal 4 2 5 2 4 2 2" xfId="8125" xr:uid="{00000000-0005-0000-0000-0000D7130000}"/>
    <cellStyle name="Normal 4 2 5 2 4 2 2 2" xfId="16575" xr:uid="{03D531C3-0A4F-450E-9350-8518836BF524}"/>
    <cellStyle name="Normal 4 2 5 2 4 2 3" xfId="12357" xr:uid="{A7965663-7A2B-4710-9EB8-19D95CEA21A7}"/>
    <cellStyle name="Normal 4 2 5 2 4 3" xfId="5980" xr:uid="{00000000-0005-0000-0000-0000D8130000}"/>
    <cellStyle name="Normal 4 2 5 2 4 3 2" xfId="14430" xr:uid="{4B667C52-246F-4E46-A718-C5D0567BF654}"/>
    <cellStyle name="Normal 4 2 5 2 4 4" xfId="10212" xr:uid="{DB72A530-F002-475A-93A7-9393EE6312FB}"/>
    <cellStyle name="Normal 4 2 5 2 5" xfId="2087" xr:uid="{00000000-0005-0000-0000-0000D9130000}"/>
    <cellStyle name="Normal 4 2 5 2 5 2" xfId="4316" xr:uid="{00000000-0005-0000-0000-0000DA130000}"/>
    <cellStyle name="Normal 4 2 5 2 5 2 2" xfId="8538" xr:uid="{00000000-0005-0000-0000-0000DB130000}"/>
    <cellStyle name="Normal 4 2 5 2 5 2 2 2" xfId="16988" xr:uid="{648D6343-4AA8-45F1-BE12-5CA7F2572B0D}"/>
    <cellStyle name="Normal 4 2 5 2 5 2 3" xfId="12770" xr:uid="{4ED274B6-0D09-4FE2-BFCA-E07BF681E80B}"/>
    <cellStyle name="Normal 4 2 5 2 5 3" xfId="6393" xr:uid="{00000000-0005-0000-0000-0000DC130000}"/>
    <cellStyle name="Normal 4 2 5 2 5 3 2" xfId="14843" xr:uid="{86D1542F-6601-497C-B567-042F02669CF6}"/>
    <cellStyle name="Normal 4 2 5 2 5 4" xfId="10625" xr:uid="{C5F42D2B-E2D6-460D-866C-CE97700687C0}"/>
    <cellStyle name="Normal 4 2 5 2 6" xfId="2523" xr:uid="{00000000-0005-0000-0000-0000DD130000}"/>
    <cellStyle name="Normal 4 2 5 2 6 2" xfId="6806" xr:uid="{00000000-0005-0000-0000-0000DE130000}"/>
    <cellStyle name="Normal 4 2 5 2 6 2 2" xfId="15256" xr:uid="{1A0E9966-4A84-474E-86D2-9385FEC30479}"/>
    <cellStyle name="Normal 4 2 5 2 6 3" xfId="11038" xr:uid="{B43A1E53-65F5-451A-80F6-385A5DF85912}"/>
    <cellStyle name="Normal 4 2 5 2 7" xfId="4741" xr:uid="{00000000-0005-0000-0000-0000DF130000}"/>
    <cellStyle name="Normal 4 2 5 2 7 2" xfId="13191" xr:uid="{12402C7B-101D-41F3-B025-BDFF6198EB5F}"/>
    <cellStyle name="Normal 4 2 5 2 8" xfId="8973" xr:uid="{505625A2-F310-451B-8D7A-AA5CCABC9C4B}"/>
    <cellStyle name="Normal 4 2 5 3" xfId="839" xr:uid="{00000000-0005-0000-0000-0000E0130000}"/>
    <cellStyle name="Normal 4 2 5 3 2" xfId="3076" xr:uid="{00000000-0005-0000-0000-0000E1130000}"/>
    <cellStyle name="Normal 4 2 5 3 2 2" xfId="7298" xr:uid="{00000000-0005-0000-0000-0000E2130000}"/>
    <cellStyle name="Normal 4 2 5 3 2 2 2" xfId="15748" xr:uid="{F28ABA36-C5FF-423B-9D28-1929A99D73F8}"/>
    <cellStyle name="Normal 4 2 5 3 2 3" xfId="11530" xr:uid="{6152A10E-367A-4142-8A4B-498E1F9E281C}"/>
    <cellStyle name="Normal 4 2 5 3 3" xfId="5153" xr:uid="{00000000-0005-0000-0000-0000E3130000}"/>
    <cellStyle name="Normal 4 2 5 3 3 2" xfId="13603" xr:uid="{C59064E8-293E-4640-9B4A-8FBD9BB94BD5}"/>
    <cellStyle name="Normal 4 2 5 3 4" xfId="9385" xr:uid="{E2665148-212E-49A9-A8CC-AD12D232B808}"/>
    <cellStyle name="Normal 4 2 5 4" xfId="1259" xr:uid="{00000000-0005-0000-0000-0000E4130000}"/>
    <cellStyle name="Normal 4 2 5 4 2" xfId="3489" xr:uid="{00000000-0005-0000-0000-0000E5130000}"/>
    <cellStyle name="Normal 4 2 5 4 2 2" xfId="7711" xr:uid="{00000000-0005-0000-0000-0000E6130000}"/>
    <cellStyle name="Normal 4 2 5 4 2 2 2" xfId="16161" xr:uid="{D96ECFDA-AFD6-4A98-8B86-880BD07B3892}"/>
    <cellStyle name="Normal 4 2 5 4 2 3" xfId="11943" xr:uid="{DDCE6FFC-9265-4925-90F2-045F71B95AE5}"/>
    <cellStyle name="Normal 4 2 5 4 3" xfId="5566" xr:uid="{00000000-0005-0000-0000-0000E7130000}"/>
    <cellStyle name="Normal 4 2 5 4 3 2" xfId="14016" xr:uid="{6D587CDF-86E9-4961-9589-4FA8FBA2325B}"/>
    <cellStyle name="Normal 4 2 5 4 4" xfId="9798" xr:uid="{269A267A-77E8-4F8B-9C7A-D4AB442A72BD}"/>
    <cellStyle name="Normal 4 2 5 5" xfId="1672" xr:uid="{00000000-0005-0000-0000-0000E8130000}"/>
    <cellStyle name="Normal 4 2 5 5 2" xfId="3902" xr:uid="{00000000-0005-0000-0000-0000E9130000}"/>
    <cellStyle name="Normal 4 2 5 5 2 2" xfId="8124" xr:uid="{00000000-0005-0000-0000-0000EA130000}"/>
    <cellStyle name="Normal 4 2 5 5 2 2 2" xfId="16574" xr:uid="{5CD46494-C7C7-4EBD-B9E9-C801FF1B625A}"/>
    <cellStyle name="Normal 4 2 5 5 2 3" xfId="12356" xr:uid="{EB7E39EB-FD52-4C1F-8ED0-E9E5B30F832C}"/>
    <cellStyle name="Normal 4 2 5 5 3" xfId="5979" xr:uid="{00000000-0005-0000-0000-0000EB130000}"/>
    <cellStyle name="Normal 4 2 5 5 3 2" xfId="14429" xr:uid="{3A26CCAF-D881-45E6-A164-250299A63A78}"/>
    <cellStyle name="Normal 4 2 5 5 4" xfId="10211" xr:uid="{577CBEB6-0401-46D5-B3DF-AF30E9E966B3}"/>
    <cellStyle name="Normal 4 2 5 6" xfId="2086" xr:uid="{00000000-0005-0000-0000-0000EC130000}"/>
    <cellStyle name="Normal 4 2 5 6 2" xfId="4315" xr:uid="{00000000-0005-0000-0000-0000ED130000}"/>
    <cellStyle name="Normal 4 2 5 6 2 2" xfId="8537" xr:uid="{00000000-0005-0000-0000-0000EE130000}"/>
    <cellStyle name="Normal 4 2 5 6 2 2 2" xfId="16987" xr:uid="{C40DD26F-BA05-45A1-986D-12EEF6F96009}"/>
    <cellStyle name="Normal 4 2 5 6 2 3" xfId="12769" xr:uid="{EDFCC915-73BB-4955-AC53-3D354895675A}"/>
    <cellStyle name="Normal 4 2 5 6 3" xfId="6392" xr:uid="{00000000-0005-0000-0000-0000EF130000}"/>
    <cellStyle name="Normal 4 2 5 6 3 2" xfId="14842" xr:uid="{CB908589-F18B-4DD0-9F17-04C200ACB3F1}"/>
    <cellStyle name="Normal 4 2 5 6 4" xfId="10624" xr:uid="{D5BD0FF9-6113-4AB1-8389-3C710A6F7C37}"/>
    <cellStyle name="Normal 4 2 5 7" xfId="2522" xr:uid="{00000000-0005-0000-0000-0000F0130000}"/>
    <cellStyle name="Normal 4 2 5 7 2" xfId="6805" xr:uid="{00000000-0005-0000-0000-0000F1130000}"/>
    <cellStyle name="Normal 4 2 5 7 2 2" xfId="15255" xr:uid="{79673156-6F62-4C01-9AC5-903FAB98709B}"/>
    <cellStyle name="Normal 4 2 5 7 3" xfId="11037" xr:uid="{2A0FFB5D-4AFA-4CF3-83AD-5FE80692E320}"/>
    <cellStyle name="Normal 4 2 5 8" xfId="4740" xr:uid="{00000000-0005-0000-0000-0000F2130000}"/>
    <cellStyle name="Normal 4 2 5 8 2" xfId="13190" xr:uid="{9FE2FA2F-75D4-4C2A-B0C3-29778D858A28}"/>
    <cellStyle name="Normal 4 2 5 9" xfId="8972" xr:uid="{797B9F0A-85B7-4680-86EC-DDA1E6F3314B}"/>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2 2 2" xfId="15750" xr:uid="{9D8C4F58-7F09-4B33-A438-4BF0C8409CEE}"/>
    <cellStyle name="Normal 4 2 6 2 2 3" xfId="11532" xr:uid="{AF821BC3-A8C4-4A2F-B393-4ABCA9EFFE40}"/>
    <cellStyle name="Normal 4 2 6 2 3" xfId="5155" xr:uid="{00000000-0005-0000-0000-0000F7130000}"/>
    <cellStyle name="Normal 4 2 6 2 3 2" xfId="13605" xr:uid="{5A0EE51E-63C1-47F3-B65C-FF19F68574F5}"/>
    <cellStyle name="Normal 4 2 6 2 4" xfId="9387" xr:uid="{0EC2F551-9A45-4925-9A78-C6E4CF97E9B4}"/>
    <cellStyle name="Normal 4 2 6 3" xfId="1261" xr:uid="{00000000-0005-0000-0000-0000F8130000}"/>
    <cellStyle name="Normal 4 2 6 3 2" xfId="3491" xr:uid="{00000000-0005-0000-0000-0000F9130000}"/>
    <cellStyle name="Normal 4 2 6 3 2 2" xfId="7713" xr:uid="{00000000-0005-0000-0000-0000FA130000}"/>
    <cellStyle name="Normal 4 2 6 3 2 2 2" xfId="16163" xr:uid="{A0BDBD0A-C9BD-44C8-A6E2-F1252E7D70DA}"/>
    <cellStyle name="Normal 4 2 6 3 2 3" xfId="11945" xr:uid="{0FE9DE4B-CAE6-4ACC-BE4B-F3F34FC84854}"/>
    <cellStyle name="Normal 4 2 6 3 3" xfId="5568" xr:uid="{00000000-0005-0000-0000-0000FB130000}"/>
    <cellStyle name="Normal 4 2 6 3 3 2" xfId="14018" xr:uid="{A842F5C2-5AF6-46C8-AF93-D66B3222AA85}"/>
    <cellStyle name="Normal 4 2 6 3 4" xfId="9800" xr:uid="{71D329C9-A8C5-4EE2-A0E0-99B3FE8D2439}"/>
    <cellStyle name="Normal 4 2 6 4" xfId="1674" xr:uid="{00000000-0005-0000-0000-0000FC130000}"/>
    <cellStyle name="Normal 4 2 6 4 2" xfId="3904" xr:uid="{00000000-0005-0000-0000-0000FD130000}"/>
    <cellStyle name="Normal 4 2 6 4 2 2" xfId="8126" xr:uid="{00000000-0005-0000-0000-0000FE130000}"/>
    <cellStyle name="Normal 4 2 6 4 2 2 2" xfId="16576" xr:uid="{B5A4EC47-EF78-481D-A421-BEAD57D2DBC2}"/>
    <cellStyle name="Normal 4 2 6 4 2 3" xfId="12358" xr:uid="{99A450F8-A8ED-48F2-B0FC-F722D139BB7D}"/>
    <cellStyle name="Normal 4 2 6 4 3" xfId="5981" xr:uid="{00000000-0005-0000-0000-0000FF130000}"/>
    <cellStyle name="Normal 4 2 6 4 3 2" xfId="14431" xr:uid="{53C9FE77-A8D1-4201-AA2B-17476CAC82F7}"/>
    <cellStyle name="Normal 4 2 6 4 4" xfId="10213" xr:uid="{3DF9D8E9-9C7E-4856-B0F1-4BB74FBE3EAE}"/>
    <cellStyle name="Normal 4 2 6 5" xfId="2088" xr:uid="{00000000-0005-0000-0000-000000140000}"/>
    <cellStyle name="Normal 4 2 6 5 2" xfId="4317" xr:uid="{00000000-0005-0000-0000-000001140000}"/>
    <cellStyle name="Normal 4 2 6 5 2 2" xfId="8539" xr:uid="{00000000-0005-0000-0000-000002140000}"/>
    <cellStyle name="Normal 4 2 6 5 2 2 2" xfId="16989" xr:uid="{518474C8-2A66-405C-A480-BA02B97F5A4E}"/>
    <cellStyle name="Normal 4 2 6 5 2 3" xfId="12771" xr:uid="{70F3556E-E2C8-4E82-9D7D-C67B1738EA40}"/>
    <cellStyle name="Normal 4 2 6 5 3" xfId="6394" xr:uid="{00000000-0005-0000-0000-000003140000}"/>
    <cellStyle name="Normal 4 2 6 5 3 2" xfId="14844" xr:uid="{3EE852E7-004A-4A82-B4A9-4DA5D0ACA6D3}"/>
    <cellStyle name="Normal 4 2 6 5 4" xfId="10626" xr:uid="{BAD78967-8C69-4842-BFD1-49FC2269FCA9}"/>
    <cellStyle name="Normal 4 2 6 6" xfId="2524" xr:uid="{00000000-0005-0000-0000-000004140000}"/>
    <cellStyle name="Normal 4 2 6 6 2" xfId="6807" xr:uid="{00000000-0005-0000-0000-000005140000}"/>
    <cellStyle name="Normal 4 2 6 6 2 2" xfId="15257" xr:uid="{2991CFB0-532E-4C0B-B595-CC93A80B157D}"/>
    <cellStyle name="Normal 4 2 6 6 3" xfId="11039" xr:uid="{514ECD8D-EDC8-4027-860B-7CC3323FD068}"/>
    <cellStyle name="Normal 4 2 6 7" xfId="4742" xr:uid="{00000000-0005-0000-0000-000006140000}"/>
    <cellStyle name="Normal 4 2 6 7 2" xfId="13192" xr:uid="{F3EC4D47-01C2-4661-B1B4-6542663F5ACE}"/>
    <cellStyle name="Normal 4 2 6 8" xfId="8974" xr:uid="{2DD93131-E031-4AAC-85C5-372DA0DB19F4}"/>
    <cellStyle name="Normal 4 3" xfId="366" xr:uid="{00000000-0005-0000-0000-000007140000}"/>
    <cellStyle name="Normal 4 3 10" xfId="8975" xr:uid="{D7C7508E-2547-4685-9E90-57A46399B3BE}"/>
    <cellStyle name="Normal 4 3 2" xfId="367" xr:uid="{00000000-0005-0000-0000-000008140000}"/>
    <cellStyle name="Normal 4 3 2 2" xfId="368" xr:uid="{00000000-0005-0000-0000-000009140000}"/>
    <cellStyle name="Normal 4 3 2 2 2" xfId="369" xr:uid="{00000000-0005-0000-0000-00000A140000}"/>
    <cellStyle name="Normal 4 3 2 2 2 10" xfId="8976" xr:uid="{E84A85FB-5167-4083-AEB8-400DFF898CE4}"/>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2 2 2" xfId="15754" xr:uid="{38C2B2CA-75AF-4896-A9C3-B22A85EE1FBA}"/>
    <cellStyle name="Normal 4 3 2 2 2 2 2 2 2 3" xfId="11536" xr:uid="{08FF39D0-65B9-4820-AE4E-7DEDDAE46F95}"/>
    <cellStyle name="Normal 4 3 2 2 2 2 2 2 3" xfId="5159" xr:uid="{00000000-0005-0000-0000-000010140000}"/>
    <cellStyle name="Normal 4 3 2 2 2 2 2 2 3 2" xfId="13609" xr:uid="{AB01011C-AA9B-40B4-BF08-A7EE7BA49921}"/>
    <cellStyle name="Normal 4 3 2 2 2 2 2 2 4" xfId="9391" xr:uid="{276C5FD2-F595-4A59-BCDE-3E4FF25E7F63}"/>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2 2 2" xfId="16167" xr:uid="{D816B8AE-2604-4378-AF0C-23A1E37A9427}"/>
    <cellStyle name="Normal 4 3 2 2 2 2 2 3 2 3" xfId="11949" xr:uid="{88BDC97F-CD49-4494-919B-9CD3724F0717}"/>
    <cellStyle name="Normal 4 3 2 2 2 2 2 3 3" xfId="5572" xr:uid="{00000000-0005-0000-0000-000014140000}"/>
    <cellStyle name="Normal 4 3 2 2 2 2 2 3 3 2" xfId="14022" xr:uid="{04A45F8A-916B-46A1-82E1-4CBB4E46A1E2}"/>
    <cellStyle name="Normal 4 3 2 2 2 2 2 3 4" xfId="9804" xr:uid="{FBB2F425-2299-4F18-9A65-B79782EB9AD8}"/>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2 2 2" xfId="16580" xr:uid="{DA3B8C63-0897-45B0-B2E9-3E58E48FA6F9}"/>
    <cellStyle name="Normal 4 3 2 2 2 2 2 4 2 3" xfId="12362" xr:uid="{43E2AD29-D554-4FE4-A16A-E452DB284098}"/>
    <cellStyle name="Normal 4 3 2 2 2 2 2 4 3" xfId="5985" xr:uid="{00000000-0005-0000-0000-000018140000}"/>
    <cellStyle name="Normal 4 3 2 2 2 2 2 4 3 2" xfId="14435" xr:uid="{59C63A0E-217A-4CFA-BBAD-E9D418E6EC3F}"/>
    <cellStyle name="Normal 4 3 2 2 2 2 2 4 4" xfId="10217" xr:uid="{FADC1E11-2A99-43A1-973C-4881C9B6AC74}"/>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2 2 2" xfId="16993" xr:uid="{D8B9EDB9-C01C-4A53-81BB-8CE8FBC3EDF1}"/>
    <cellStyle name="Normal 4 3 2 2 2 2 2 5 2 3" xfId="12775" xr:uid="{5BB57300-FA81-42D0-A228-0B9862E34EDA}"/>
    <cellStyle name="Normal 4 3 2 2 2 2 2 5 3" xfId="6398" xr:uid="{00000000-0005-0000-0000-00001C140000}"/>
    <cellStyle name="Normal 4 3 2 2 2 2 2 5 3 2" xfId="14848" xr:uid="{877F823F-B322-4144-BC39-DCF7EA0E94C7}"/>
    <cellStyle name="Normal 4 3 2 2 2 2 2 5 4" xfId="10630" xr:uid="{6AD01BC7-4E14-4A37-98B6-1F126DDE6F65}"/>
    <cellStyle name="Normal 4 3 2 2 2 2 2 6" xfId="2528" xr:uid="{00000000-0005-0000-0000-00001D140000}"/>
    <cellStyle name="Normal 4 3 2 2 2 2 2 6 2" xfId="6811" xr:uid="{00000000-0005-0000-0000-00001E140000}"/>
    <cellStyle name="Normal 4 3 2 2 2 2 2 6 2 2" xfId="15261" xr:uid="{F3E32306-FB91-4B4F-920A-AD9D922A65DA}"/>
    <cellStyle name="Normal 4 3 2 2 2 2 2 6 3" xfId="11043" xr:uid="{7138A95E-D22D-49AE-98EB-C68C8CC360A6}"/>
    <cellStyle name="Normal 4 3 2 2 2 2 2 7" xfId="4746" xr:uid="{00000000-0005-0000-0000-00001F140000}"/>
    <cellStyle name="Normal 4 3 2 2 2 2 2 7 2" xfId="13196" xr:uid="{EE511761-8601-4897-95B0-7C0F3DF855D3}"/>
    <cellStyle name="Normal 4 3 2 2 2 2 2 8" xfId="8978" xr:uid="{3A28180C-D061-42C5-932A-1B0B2297F04B}"/>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2 2 2" xfId="15753" xr:uid="{98B3B085-D15D-4C07-8DAA-FBBB82D68598}"/>
    <cellStyle name="Normal 4 3 2 2 2 2 3 2 3" xfId="11535" xr:uid="{84A24582-6B90-4B7E-9408-19CF0F298EF9}"/>
    <cellStyle name="Normal 4 3 2 2 2 2 3 3" xfId="5158" xr:uid="{00000000-0005-0000-0000-000023140000}"/>
    <cellStyle name="Normal 4 3 2 2 2 2 3 3 2" xfId="13608" xr:uid="{D5F25047-5F64-4526-9416-2398E656CCD7}"/>
    <cellStyle name="Normal 4 3 2 2 2 2 3 4" xfId="9390" xr:uid="{52C3CBA0-1FCF-46BB-972F-400E4E97F768}"/>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2 2 2" xfId="16166" xr:uid="{1EF50CE7-D481-4593-8BF3-84ABE08F067F}"/>
    <cellStyle name="Normal 4 3 2 2 2 2 4 2 3" xfId="11948" xr:uid="{6DB93EEA-42A0-45EE-949D-D2F2A23E93D2}"/>
    <cellStyle name="Normal 4 3 2 2 2 2 4 3" xfId="5571" xr:uid="{00000000-0005-0000-0000-000027140000}"/>
    <cellStyle name="Normal 4 3 2 2 2 2 4 3 2" xfId="14021" xr:uid="{61E5D440-632E-4DCE-80B4-958218D17009}"/>
    <cellStyle name="Normal 4 3 2 2 2 2 4 4" xfId="9803" xr:uid="{B048154B-6D29-4D7A-B473-1D1E6D777E85}"/>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2 2 2" xfId="16579" xr:uid="{05B5E075-21AE-4E8E-B3BD-7449DD6C1658}"/>
    <cellStyle name="Normal 4 3 2 2 2 2 5 2 3" xfId="12361" xr:uid="{10F802E5-5BBD-4BFB-918B-3BB01FA1EBF0}"/>
    <cellStyle name="Normal 4 3 2 2 2 2 5 3" xfId="5984" xr:uid="{00000000-0005-0000-0000-00002B140000}"/>
    <cellStyle name="Normal 4 3 2 2 2 2 5 3 2" xfId="14434" xr:uid="{722586DF-56D9-41E6-8CB8-06C69DBB7F11}"/>
    <cellStyle name="Normal 4 3 2 2 2 2 5 4" xfId="10216" xr:uid="{27C6BBB8-2652-406B-B3CB-5AA53A4A6458}"/>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2 2 2" xfId="16992" xr:uid="{F10688EE-F110-4011-AB36-3F85F02BA5DE}"/>
    <cellStyle name="Normal 4 3 2 2 2 2 6 2 3" xfId="12774" xr:uid="{780FA3BE-7F13-47D1-96F1-AA7AA1D605AF}"/>
    <cellStyle name="Normal 4 3 2 2 2 2 6 3" xfId="6397" xr:uid="{00000000-0005-0000-0000-00002F140000}"/>
    <cellStyle name="Normal 4 3 2 2 2 2 6 3 2" xfId="14847" xr:uid="{AC25CAC8-3565-4436-84F7-133032A7D205}"/>
    <cellStyle name="Normal 4 3 2 2 2 2 6 4" xfId="10629" xr:uid="{0A654A96-BC16-4D12-84FC-4AEB9C6B67E3}"/>
    <cellStyle name="Normal 4 3 2 2 2 2 7" xfId="2527" xr:uid="{00000000-0005-0000-0000-000030140000}"/>
    <cellStyle name="Normal 4 3 2 2 2 2 7 2" xfId="6810" xr:uid="{00000000-0005-0000-0000-000031140000}"/>
    <cellStyle name="Normal 4 3 2 2 2 2 7 2 2" xfId="15260" xr:uid="{253D7706-8786-4EF9-AD5F-FA5A1F22226B}"/>
    <cellStyle name="Normal 4 3 2 2 2 2 7 3" xfId="11042" xr:uid="{B1AD3103-2857-47A3-B9BA-38CC6FAB104F}"/>
    <cellStyle name="Normal 4 3 2 2 2 2 8" xfId="4745" xr:uid="{00000000-0005-0000-0000-000032140000}"/>
    <cellStyle name="Normal 4 3 2 2 2 2 8 2" xfId="13195" xr:uid="{9D681AC8-3C71-4E9E-92C8-3EF0B638D52A}"/>
    <cellStyle name="Normal 4 3 2 2 2 2 9" xfId="8977" xr:uid="{900C9CE2-3ADB-4E4D-9F5C-F9F02D819381}"/>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2 2 2" xfId="15755" xr:uid="{B78CDBF8-DCAE-4E5C-9FD7-F4FED54CBBAE}"/>
    <cellStyle name="Normal 4 3 2 2 2 3 2 2 3" xfId="11537" xr:uid="{AF0296D9-A729-4529-894C-752E73239B9D}"/>
    <cellStyle name="Normal 4 3 2 2 2 3 2 3" xfId="5160" xr:uid="{00000000-0005-0000-0000-000037140000}"/>
    <cellStyle name="Normal 4 3 2 2 2 3 2 3 2" xfId="13610" xr:uid="{AFFDEC4E-21B9-425D-8A60-C2F04E4019E7}"/>
    <cellStyle name="Normal 4 3 2 2 2 3 2 4" xfId="9392" xr:uid="{F30511E5-7ED2-4B34-A60C-0BA09BC322CC}"/>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2 2 2" xfId="16168" xr:uid="{C3259D85-7DDF-4D0B-953C-620C14D4E027}"/>
    <cellStyle name="Normal 4 3 2 2 2 3 3 2 3" xfId="11950" xr:uid="{593D58B0-697E-4CF8-B97F-0771774C8F64}"/>
    <cellStyle name="Normal 4 3 2 2 2 3 3 3" xfId="5573" xr:uid="{00000000-0005-0000-0000-00003B140000}"/>
    <cellStyle name="Normal 4 3 2 2 2 3 3 3 2" xfId="14023" xr:uid="{1162CA4E-99CF-4BDB-9732-56F8516FEDB5}"/>
    <cellStyle name="Normal 4 3 2 2 2 3 3 4" xfId="9805" xr:uid="{A8BFDEFF-5512-4EB7-8272-6278A9219817}"/>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2 2 2" xfId="16581" xr:uid="{03496458-844B-4C35-853B-3DF2BC3656E9}"/>
    <cellStyle name="Normal 4 3 2 2 2 3 4 2 3" xfId="12363" xr:uid="{C3E95561-A4AE-4AB7-A125-83E0966BF7BC}"/>
    <cellStyle name="Normal 4 3 2 2 2 3 4 3" xfId="5986" xr:uid="{00000000-0005-0000-0000-00003F140000}"/>
    <cellStyle name="Normal 4 3 2 2 2 3 4 3 2" xfId="14436" xr:uid="{60786ACD-21F5-4DC8-BC44-E5021C6AF130}"/>
    <cellStyle name="Normal 4 3 2 2 2 3 4 4" xfId="10218" xr:uid="{00AB9B55-D9F2-463A-B681-24ACCF09771E}"/>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2 2 2" xfId="16994" xr:uid="{BDA1614D-30A4-4AD8-BAA1-03484E062FD6}"/>
    <cellStyle name="Normal 4 3 2 2 2 3 5 2 3" xfId="12776" xr:uid="{1726D092-7FD9-45C6-A0F7-F033E3B15A94}"/>
    <cellStyle name="Normal 4 3 2 2 2 3 5 3" xfId="6399" xr:uid="{00000000-0005-0000-0000-000043140000}"/>
    <cellStyle name="Normal 4 3 2 2 2 3 5 3 2" xfId="14849" xr:uid="{4EBE9CED-3BDF-4331-9A1B-F09897243CF0}"/>
    <cellStyle name="Normal 4 3 2 2 2 3 5 4" xfId="10631" xr:uid="{A5B70337-1807-4D74-AAB0-984032C5AE5B}"/>
    <cellStyle name="Normal 4 3 2 2 2 3 6" xfId="2529" xr:uid="{00000000-0005-0000-0000-000044140000}"/>
    <cellStyle name="Normal 4 3 2 2 2 3 6 2" xfId="6812" xr:uid="{00000000-0005-0000-0000-000045140000}"/>
    <cellStyle name="Normal 4 3 2 2 2 3 6 2 2" xfId="15262" xr:uid="{3CC87F06-BDAF-4DB4-A407-3442CF694F78}"/>
    <cellStyle name="Normal 4 3 2 2 2 3 6 3" xfId="11044" xr:uid="{1248DD2F-561A-430A-A9AB-A54872BE877D}"/>
    <cellStyle name="Normal 4 3 2 2 2 3 7" xfId="4747" xr:uid="{00000000-0005-0000-0000-000046140000}"/>
    <cellStyle name="Normal 4 3 2 2 2 3 7 2" xfId="13197" xr:uid="{62B653B4-AA94-4DBD-AADC-76F854C07A19}"/>
    <cellStyle name="Normal 4 3 2 2 2 3 8" xfId="8979" xr:uid="{690530A3-12E9-46DA-BD2A-35E1415F79D4}"/>
    <cellStyle name="Normal 4 3 2 2 2 4" xfId="844" xr:uid="{00000000-0005-0000-0000-000047140000}"/>
    <cellStyle name="Normal 4 3 2 2 2 4 2" xfId="3080" xr:uid="{00000000-0005-0000-0000-000048140000}"/>
    <cellStyle name="Normal 4 3 2 2 2 4 2 2" xfId="7302" xr:uid="{00000000-0005-0000-0000-000049140000}"/>
    <cellStyle name="Normal 4 3 2 2 2 4 2 2 2" xfId="15752" xr:uid="{58216BC0-B41F-4271-B126-D714FD5B06E9}"/>
    <cellStyle name="Normal 4 3 2 2 2 4 2 3" xfId="11534" xr:uid="{30584068-BB02-4D63-BFB0-60F8AF8AB9FB}"/>
    <cellStyle name="Normal 4 3 2 2 2 4 3" xfId="5157" xr:uid="{00000000-0005-0000-0000-00004A140000}"/>
    <cellStyle name="Normal 4 3 2 2 2 4 3 2" xfId="13607" xr:uid="{980326CD-206E-4529-9AD9-A3CFDDDE9256}"/>
    <cellStyle name="Normal 4 3 2 2 2 4 4" xfId="9389" xr:uid="{3D7C58F4-054E-4B42-B6BA-C3C850153B6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2 2 2" xfId="16165" xr:uid="{9A3AB7EA-7A6A-4505-ABCD-33C624404B68}"/>
    <cellStyle name="Normal 4 3 2 2 2 5 2 3" xfId="11947" xr:uid="{B9674F94-A184-4E20-99C2-1D9D49D005FF}"/>
    <cellStyle name="Normal 4 3 2 2 2 5 3" xfId="5570" xr:uid="{00000000-0005-0000-0000-00004E140000}"/>
    <cellStyle name="Normal 4 3 2 2 2 5 3 2" xfId="14020" xr:uid="{FD5ABA3B-D007-4621-B3CE-CB81AF030DD9}"/>
    <cellStyle name="Normal 4 3 2 2 2 5 4" xfId="9802" xr:uid="{82E6B575-6BBC-4D3D-B208-98C511AC9B86}"/>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2 2 2" xfId="16578" xr:uid="{A1128F68-CF1A-4665-AA55-58C955CF7759}"/>
    <cellStyle name="Normal 4 3 2 2 2 6 2 3" xfId="12360" xr:uid="{6DED44F7-C741-4B6D-A842-4E9D6218ADD3}"/>
    <cellStyle name="Normal 4 3 2 2 2 6 3" xfId="5983" xr:uid="{00000000-0005-0000-0000-000052140000}"/>
    <cellStyle name="Normal 4 3 2 2 2 6 3 2" xfId="14433" xr:uid="{0C7C1CFB-2D84-4007-A847-340A8DD3C5B7}"/>
    <cellStyle name="Normal 4 3 2 2 2 6 4" xfId="10215" xr:uid="{489D0B2B-7857-411A-BF72-13A29D5F19A6}"/>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2 2 2" xfId="16991" xr:uid="{2202B46C-5F64-4CC1-BA56-A0E945393849}"/>
    <cellStyle name="Normal 4 3 2 2 2 7 2 3" xfId="12773" xr:uid="{857FCBCC-6F8D-44D4-A8FD-9B12704ACA71}"/>
    <cellStyle name="Normal 4 3 2 2 2 7 3" xfId="6396" xr:uid="{00000000-0005-0000-0000-000056140000}"/>
    <cellStyle name="Normal 4 3 2 2 2 7 3 2" xfId="14846" xr:uid="{447D39CC-8AD7-4745-9A51-D2514C738192}"/>
    <cellStyle name="Normal 4 3 2 2 2 7 4" xfId="10628" xr:uid="{AC8D16B7-51D4-4533-B28C-B8AEFC265AD5}"/>
    <cellStyle name="Normal 4 3 2 2 2 8" xfId="2526" xr:uid="{00000000-0005-0000-0000-000057140000}"/>
    <cellStyle name="Normal 4 3 2 2 2 8 2" xfId="6809" xr:uid="{00000000-0005-0000-0000-000058140000}"/>
    <cellStyle name="Normal 4 3 2 2 2 8 2 2" xfId="15259" xr:uid="{1D92E935-3FFA-40A1-9C65-C7CA961BE6B7}"/>
    <cellStyle name="Normal 4 3 2 2 2 8 3" xfId="11041" xr:uid="{3E07AE15-52FE-45D8-81FA-3F025B5E294C}"/>
    <cellStyle name="Normal 4 3 2 2 2 9" xfId="4744" xr:uid="{00000000-0005-0000-0000-000059140000}"/>
    <cellStyle name="Normal 4 3 2 2 2 9 2" xfId="13194" xr:uid="{74F78435-5C41-4E24-8CFE-C483BE84BB07}"/>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10" xfId="8980" xr:uid="{B46A2AB0-3D79-4575-94BD-2DBA6287F873}"/>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2 2 2" xfId="15758" xr:uid="{AC568257-C42A-41B1-B80D-16B95EA4915C}"/>
    <cellStyle name="Normal 4 3 3 2 2 2 2 3" xfId="11540" xr:uid="{AA6C734F-C8DA-4BFE-B740-CC018C4B9ACE}"/>
    <cellStyle name="Normal 4 3 3 2 2 2 3" xfId="5163" xr:uid="{00000000-0005-0000-0000-000063140000}"/>
    <cellStyle name="Normal 4 3 3 2 2 2 3 2" xfId="13613" xr:uid="{3DDDE15A-E9D7-4DAE-BB58-0516B10E0CAA}"/>
    <cellStyle name="Normal 4 3 3 2 2 2 4" xfId="9395" xr:uid="{879DEE82-3E6C-4DE5-A9A4-1FF024921B7E}"/>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2 2 2" xfId="16171" xr:uid="{174F2B9B-9C81-40F4-A0EB-19FBA4599EA5}"/>
    <cellStyle name="Normal 4 3 3 2 2 3 2 3" xfId="11953" xr:uid="{01A2C9AC-2F31-4E86-A05E-46FC151AF7E0}"/>
    <cellStyle name="Normal 4 3 3 2 2 3 3" xfId="5576" xr:uid="{00000000-0005-0000-0000-000067140000}"/>
    <cellStyle name="Normal 4 3 3 2 2 3 3 2" xfId="14026" xr:uid="{BEF34030-9C75-4560-8432-ED5BB4ED6E42}"/>
    <cellStyle name="Normal 4 3 3 2 2 3 4" xfId="9808" xr:uid="{85C9862E-61DD-4C99-B6A9-61617E7DB79A}"/>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2 2 2" xfId="16584" xr:uid="{CEE24F89-F51F-4C61-8AA4-3F59411D60E7}"/>
    <cellStyle name="Normal 4 3 3 2 2 4 2 3" xfId="12366" xr:uid="{9C2ECD5F-DC6C-429D-B057-3E6DE153D945}"/>
    <cellStyle name="Normal 4 3 3 2 2 4 3" xfId="5989" xr:uid="{00000000-0005-0000-0000-00006B140000}"/>
    <cellStyle name="Normal 4 3 3 2 2 4 3 2" xfId="14439" xr:uid="{E425CCAA-B8E6-45C7-B422-0641DC04D095}"/>
    <cellStyle name="Normal 4 3 3 2 2 4 4" xfId="10221" xr:uid="{5F49A078-7621-4481-A831-4F5E27E68C4E}"/>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2 2 2" xfId="16997" xr:uid="{EFA06724-5617-47F0-AAFB-F8F9A3F5CCBE}"/>
    <cellStyle name="Normal 4 3 3 2 2 5 2 3" xfId="12779" xr:uid="{E67952EA-6E4D-4C2F-97AB-058D0BB0A1F3}"/>
    <cellStyle name="Normal 4 3 3 2 2 5 3" xfId="6402" xr:uid="{00000000-0005-0000-0000-00006F140000}"/>
    <cellStyle name="Normal 4 3 3 2 2 5 3 2" xfId="14852" xr:uid="{C999FD9D-64FA-4BA4-8761-F7CF504B5EA6}"/>
    <cellStyle name="Normal 4 3 3 2 2 5 4" xfId="10634" xr:uid="{BFDC4C20-434D-4D09-B670-5A5C5CDC8176}"/>
    <cellStyle name="Normal 4 3 3 2 2 6" xfId="2532" xr:uid="{00000000-0005-0000-0000-000070140000}"/>
    <cellStyle name="Normal 4 3 3 2 2 6 2" xfId="6815" xr:uid="{00000000-0005-0000-0000-000071140000}"/>
    <cellStyle name="Normal 4 3 3 2 2 6 2 2" xfId="15265" xr:uid="{B377C1CD-A104-45AE-8C44-87600B621252}"/>
    <cellStyle name="Normal 4 3 3 2 2 6 3" xfId="11047" xr:uid="{1E589644-9C8C-4515-8825-8BEBE59DF2F3}"/>
    <cellStyle name="Normal 4 3 3 2 2 7" xfId="4750" xr:uid="{00000000-0005-0000-0000-000072140000}"/>
    <cellStyle name="Normal 4 3 3 2 2 7 2" xfId="13200" xr:uid="{DF0A8AB2-0038-44E4-973F-B2C557FECC10}"/>
    <cellStyle name="Normal 4 3 3 2 2 8" xfId="8982" xr:uid="{2EA4E237-0344-4D24-B297-B275ED666C1C}"/>
    <cellStyle name="Normal 4 3 3 2 3" xfId="850" xr:uid="{00000000-0005-0000-0000-000073140000}"/>
    <cellStyle name="Normal 4 3 3 2 3 2" xfId="3085" xr:uid="{00000000-0005-0000-0000-000074140000}"/>
    <cellStyle name="Normal 4 3 3 2 3 2 2" xfId="7307" xr:uid="{00000000-0005-0000-0000-000075140000}"/>
    <cellStyle name="Normal 4 3 3 2 3 2 2 2" xfId="15757" xr:uid="{213F5497-D13B-4E3C-ABBC-1D6DC8E780B8}"/>
    <cellStyle name="Normal 4 3 3 2 3 2 3" xfId="11539" xr:uid="{40C6D8A4-8EF5-4C7A-AD51-C32B1FBB9602}"/>
    <cellStyle name="Normal 4 3 3 2 3 3" xfId="5162" xr:uid="{00000000-0005-0000-0000-000076140000}"/>
    <cellStyle name="Normal 4 3 3 2 3 3 2" xfId="13612" xr:uid="{B395A062-694D-489A-A3B8-CF4F271201BF}"/>
    <cellStyle name="Normal 4 3 3 2 3 4" xfId="9394" xr:uid="{1854E1C5-8883-40C2-BD34-E08814B0523A}"/>
    <cellStyle name="Normal 4 3 3 2 4" xfId="1268" xr:uid="{00000000-0005-0000-0000-000077140000}"/>
    <cellStyle name="Normal 4 3 3 2 4 2" xfId="3498" xr:uid="{00000000-0005-0000-0000-000078140000}"/>
    <cellStyle name="Normal 4 3 3 2 4 2 2" xfId="7720" xr:uid="{00000000-0005-0000-0000-000079140000}"/>
    <cellStyle name="Normal 4 3 3 2 4 2 2 2" xfId="16170" xr:uid="{2CF7866E-FFC0-4B7C-BC59-0E9E6A06448D}"/>
    <cellStyle name="Normal 4 3 3 2 4 2 3" xfId="11952" xr:uid="{7962CE8C-3520-4CFA-BFDF-59B720E4AAD4}"/>
    <cellStyle name="Normal 4 3 3 2 4 3" xfId="5575" xr:uid="{00000000-0005-0000-0000-00007A140000}"/>
    <cellStyle name="Normal 4 3 3 2 4 3 2" xfId="14025" xr:uid="{AF103EA2-6D09-4922-96A0-9AF2128586CB}"/>
    <cellStyle name="Normal 4 3 3 2 4 4" xfId="9807" xr:uid="{A7C80D7E-4EDF-43C6-B38C-E78E68D8A33E}"/>
    <cellStyle name="Normal 4 3 3 2 5" xfId="1681" xr:uid="{00000000-0005-0000-0000-00007B140000}"/>
    <cellStyle name="Normal 4 3 3 2 5 2" xfId="3911" xr:uid="{00000000-0005-0000-0000-00007C140000}"/>
    <cellStyle name="Normal 4 3 3 2 5 2 2" xfId="8133" xr:uid="{00000000-0005-0000-0000-00007D140000}"/>
    <cellStyle name="Normal 4 3 3 2 5 2 2 2" xfId="16583" xr:uid="{D99B1D0A-CF19-4E25-A0FB-2E8418787EE0}"/>
    <cellStyle name="Normal 4 3 3 2 5 2 3" xfId="12365" xr:uid="{314AB88C-1F8D-4885-BF49-DB3EF048E84C}"/>
    <cellStyle name="Normal 4 3 3 2 5 3" xfId="5988" xr:uid="{00000000-0005-0000-0000-00007E140000}"/>
    <cellStyle name="Normal 4 3 3 2 5 3 2" xfId="14438" xr:uid="{ABC1857A-9EC8-46B7-A218-5BB957A9B640}"/>
    <cellStyle name="Normal 4 3 3 2 5 4" xfId="10220" xr:uid="{CE7162D5-7D39-456E-8CCA-7583F92483E1}"/>
    <cellStyle name="Normal 4 3 3 2 6" xfId="2095" xr:uid="{00000000-0005-0000-0000-00007F140000}"/>
    <cellStyle name="Normal 4 3 3 2 6 2" xfId="4324" xr:uid="{00000000-0005-0000-0000-000080140000}"/>
    <cellStyle name="Normal 4 3 3 2 6 2 2" xfId="8546" xr:uid="{00000000-0005-0000-0000-000081140000}"/>
    <cellStyle name="Normal 4 3 3 2 6 2 2 2" xfId="16996" xr:uid="{3CA26228-B871-4BB7-AFFA-760433A77969}"/>
    <cellStyle name="Normal 4 3 3 2 6 2 3" xfId="12778" xr:uid="{44C4ACFC-9B1A-48BD-B4D4-5ECDFEBAD5FA}"/>
    <cellStyle name="Normal 4 3 3 2 6 3" xfId="6401" xr:uid="{00000000-0005-0000-0000-000082140000}"/>
    <cellStyle name="Normal 4 3 3 2 6 3 2" xfId="14851" xr:uid="{404F5CF3-A052-4CD8-89FD-24F1524E44E9}"/>
    <cellStyle name="Normal 4 3 3 2 6 4" xfId="10633" xr:uid="{5427BD04-1651-4F47-BD4D-A366928A5263}"/>
    <cellStyle name="Normal 4 3 3 2 7" xfId="2531" xr:uid="{00000000-0005-0000-0000-000083140000}"/>
    <cellStyle name="Normal 4 3 3 2 7 2" xfId="6814" xr:uid="{00000000-0005-0000-0000-000084140000}"/>
    <cellStyle name="Normal 4 3 3 2 7 2 2" xfId="15264" xr:uid="{094512D3-8059-44A5-8A55-ABE8797624B8}"/>
    <cellStyle name="Normal 4 3 3 2 7 3" xfId="11046" xr:uid="{BD01857A-5BBA-441E-A941-11205D4C8CF7}"/>
    <cellStyle name="Normal 4 3 3 2 8" xfId="4749" xr:uid="{00000000-0005-0000-0000-000085140000}"/>
    <cellStyle name="Normal 4 3 3 2 8 2" xfId="13199" xr:uid="{867D8C4B-0194-43FF-9962-5D046AF2A482}"/>
    <cellStyle name="Normal 4 3 3 2 9" xfId="8981" xr:uid="{409562B2-6EAA-4529-9754-13A0402E02F8}"/>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2 2 2" xfId="15759" xr:uid="{A8331906-4C8A-46C5-B782-36BB416B7679}"/>
    <cellStyle name="Normal 4 3 3 3 2 2 3" xfId="11541" xr:uid="{80476A24-BE0D-448D-8DFD-BC03F77EA6BD}"/>
    <cellStyle name="Normal 4 3 3 3 2 3" xfId="5164" xr:uid="{00000000-0005-0000-0000-00008A140000}"/>
    <cellStyle name="Normal 4 3 3 3 2 3 2" xfId="13614" xr:uid="{521EBE13-9B78-4F76-98FF-BBA4C6F6C119}"/>
    <cellStyle name="Normal 4 3 3 3 2 4" xfId="9396" xr:uid="{C03CF7CC-9343-45A5-887E-0D05C9DF7989}"/>
    <cellStyle name="Normal 4 3 3 3 3" xfId="1270" xr:uid="{00000000-0005-0000-0000-00008B140000}"/>
    <cellStyle name="Normal 4 3 3 3 3 2" xfId="3500" xr:uid="{00000000-0005-0000-0000-00008C140000}"/>
    <cellStyle name="Normal 4 3 3 3 3 2 2" xfId="7722" xr:uid="{00000000-0005-0000-0000-00008D140000}"/>
    <cellStyle name="Normal 4 3 3 3 3 2 2 2" xfId="16172" xr:uid="{A88C4FB3-2217-46E0-AA90-7FFCD7BEEE6B}"/>
    <cellStyle name="Normal 4 3 3 3 3 2 3" xfId="11954" xr:uid="{397C2D11-9348-430D-9A2B-307EF5993468}"/>
    <cellStyle name="Normal 4 3 3 3 3 3" xfId="5577" xr:uid="{00000000-0005-0000-0000-00008E140000}"/>
    <cellStyle name="Normal 4 3 3 3 3 3 2" xfId="14027" xr:uid="{B66698F6-EE55-4692-971B-F264C68C46FB}"/>
    <cellStyle name="Normal 4 3 3 3 3 4" xfId="9809" xr:uid="{A64F5A2C-4690-4B2C-B030-EC1C898A7528}"/>
    <cellStyle name="Normal 4 3 3 3 4" xfId="1683" xr:uid="{00000000-0005-0000-0000-00008F140000}"/>
    <cellStyle name="Normal 4 3 3 3 4 2" xfId="3913" xr:uid="{00000000-0005-0000-0000-000090140000}"/>
    <cellStyle name="Normal 4 3 3 3 4 2 2" xfId="8135" xr:uid="{00000000-0005-0000-0000-000091140000}"/>
    <cellStyle name="Normal 4 3 3 3 4 2 2 2" xfId="16585" xr:uid="{B98D0F3E-AFC5-4F5A-9F43-6D4ECD72B917}"/>
    <cellStyle name="Normal 4 3 3 3 4 2 3" xfId="12367" xr:uid="{B77B54D8-2930-463C-BB56-D7368D0A6EE7}"/>
    <cellStyle name="Normal 4 3 3 3 4 3" xfId="5990" xr:uid="{00000000-0005-0000-0000-000092140000}"/>
    <cellStyle name="Normal 4 3 3 3 4 3 2" xfId="14440" xr:uid="{1F71A8A4-B4BD-4B67-879C-A329C1B24956}"/>
    <cellStyle name="Normal 4 3 3 3 4 4" xfId="10222" xr:uid="{9438A5C3-8FCD-43FA-BD68-2F63EA9423BA}"/>
    <cellStyle name="Normal 4 3 3 3 5" xfId="2097" xr:uid="{00000000-0005-0000-0000-000093140000}"/>
    <cellStyle name="Normal 4 3 3 3 5 2" xfId="4326" xr:uid="{00000000-0005-0000-0000-000094140000}"/>
    <cellStyle name="Normal 4 3 3 3 5 2 2" xfId="8548" xr:uid="{00000000-0005-0000-0000-000095140000}"/>
    <cellStyle name="Normal 4 3 3 3 5 2 2 2" xfId="16998" xr:uid="{DDD4D1CD-0E9E-4433-BA4B-033F7CD53C27}"/>
    <cellStyle name="Normal 4 3 3 3 5 2 3" xfId="12780" xr:uid="{A1073497-E286-4D87-BA1B-8186F42ECDE0}"/>
    <cellStyle name="Normal 4 3 3 3 5 3" xfId="6403" xr:uid="{00000000-0005-0000-0000-000096140000}"/>
    <cellStyle name="Normal 4 3 3 3 5 3 2" xfId="14853" xr:uid="{0B48957F-BA15-4537-BA7D-DE904EFF5210}"/>
    <cellStyle name="Normal 4 3 3 3 5 4" xfId="10635" xr:uid="{B0DFB0C3-E1A6-4A26-9CF9-E3D38BADBB68}"/>
    <cellStyle name="Normal 4 3 3 3 6" xfId="2533" xr:uid="{00000000-0005-0000-0000-000097140000}"/>
    <cellStyle name="Normal 4 3 3 3 6 2" xfId="6816" xr:uid="{00000000-0005-0000-0000-000098140000}"/>
    <cellStyle name="Normal 4 3 3 3 6 2 2" xfId="15266" xr:uid="{A6A21A9A-5E05-4B35-A97B-FD1EC560D7EB}"/>
    <cellStyle name="Normal 4 3 3 3 6 3" xfId="11048" xr:uid="{8FE08407-E8E1-4045-8F0F-397A4045ED10}"/>
    <cellStyle name="Normal 4 3 3 3 7" xfId="4751" xr:uid="{00000000-0005-0000-0000-000099140000}"/>
    <cellStyle name="Normal 4 3 3 3 7 2" xfId="13201" xr:uid="{4FCB07E6-F1A3-4D2D-94BA-40B50BA8442A}"/>
    <cellStyle name="Normal 4 3 3 3 8" xfId="8983" xr:uid="{50D3F5D7-3717-4D8D-8D4A-E340887AEC9F}"/>
    <cellStyle name="Normal 4 3 3 4" xfId="849" xr:uid="{00000000-0005-0000-0000-00009A140000}"/>
    <cellStyle name="Normal 4 3 3 4 2" xfId="3084" xr:uid="{00000000-0005-0000-0000-00009B140000}"/>
    <cellStyle name="Normal 4 3 3 4 2 2" xfId="7306" xr:uid="{00000000-0005-0000-0000-00009C140000}"/>
    <cellStyle name="Normal 4 3 3 4 2 2 2" xfId="15756" xr:uid="{27B83B4D-0FB8-41BC-8E43-A53414C22EF6}"/>
    <cellStyle name="Normal 4 3 3 4 2 3" xfId="11538" xr:uid="{0FD46AC9-9997-4005-B9D8-21621CECD370}"/>
    <cellStyle name="Normal 4 3 3 4 3" xfId="5161" xr:uid="{00000000-0005-0000-0000-00009D140000}"/>
    <cellStyle name="Normal 4 3 3 4 3 2" xfId="13611" xr:uid="{6BD7E763-D3CA-40EF-BF72-449E7C1171B5}"/>
    <cellStyle name="Normal 4 3 3 4 4" xfId="9393" xr:uid="{89A11307-1C03-48EE-B371-037D006CDE15}"/>
    <cellStyle name="Normal 4 3 3 5" xfId="1267" xr:uid="{00000000-0005-0000-0000-00009E140000}"/>
    <cellStyle name="Normal 4 3 3 5 2" xfId="3497" xr:uid="{00000000-0005-0000-0000-00009F140000}"/>
    <cellStyle name="Normal 4 3 3 5 2 2" xfId="7719" xr:uid="{00000000-0005-0000-0000-0000A0140000}"/>
    <cellStyle name="Normal 4 3 3 5 2 2 2" xfId="16169" xr:uid="{14F95A78-CC84-4224-BC99-89E4F5078E0B}"/>
    <cellStyle name="Normal 4 3 3 5 2 3" xfId="11951" xr:uid="{DAD35768-31CD-4E5A-A7A8-417A6307711F}"/>
    <cellStyle name="Normal 4 3 3 5 3" xfId="5574" xr:uid="{00000000-0005-0000-0000-0000A1140000}"/>
    <cellStyle name="Normal 4 3 3 5 3 2" xfId="14024" xr:uid="{7FF23D2F-E5E5-494E-A080-6144B51D1E89}"/>
    <cellStyle name="Normal 4 3 3 5 4" xfId="9806" xr:uid="{ECFE1341-7327-4850-A820-423358AF10D7}"/>
    <cellStyle name="Normal 4 3 3 6" xfId="1680" xr:uid="{00000000-0005-0000-0000-0000A2140000}"/>
    <cellStyle name="Normal 4 3 3 6 2" xfId="3910" xr:uid="{00000000-0005-0000-0000-0000A3140000}"/>
    <cellStyle name="Normal 4 3 3 6 2 2" xfId="8132" xr:uid="{00000000-0005-0000-0000-0000A4140000}"/>
    <cellStyle name="Normal 4 3 3 6 2 2 2" xfId="16582" xr:uid="{DBA4DA5B-1533-4CDB-BEC0-0A504187B326}"/>
    <cellStyle name="Normal 4 3 3 6 2 3" xfId="12364" xr:uid="{07BEDE6D-CA3E-44D1-BE67-7D86A51C3C39}"/>
    <cellStyle name="Normal 4 3 3 6 3" xfId="5987" xr:uid="{00000000-0005-0000-0000-0000A5140000}"/>
    <cellStyle name="Normal 4 3 3 6 3 2" xfId="14437" xr:uid="{16861E85-E506-4CEB-9A3A-F3FBA54DB7EF}"/>
    <cellStyle name="Normal 4 3 3 6 4" xfId="10219" xr:uid="{3E122EDB-CBAB-4CD0-AB85-8FC03A987D55}"/>
    <cellStyle name="Normal 4 3 3 7" xfId="2094" xr:uid="{00000000-0005-0000-0000-0000A6140000}"/>
    <cellStyle name="Normal 4 3 3 7 2" xfId="4323" xr:uid="{00000000-0005-0000-0000-0000A7140000}"/>
    <cellStyle name="Normal 4 3 3 7 2 2" xfId="8545" xr:uid="{00000000-0005-0000-0000-0000A8140000}"/>
    <cellStyle name="Normal 4 3 3 7 2 2 2" xfId="16995" xr:uid="{69EB0EC8-6AFC-40BB-AE2C-022E6868E908}"/>
    <cellStyle name="Normal 4 3 3 7 2 3" xfId="12777" xr:uid="{2D1C8D5E-305A-4E37-A166-8896FF721BAF}"/>
    <cellStyle name="Normal 4 3 3 7 3" xfId="6400" xr:uid="{00000000-0005-0000-0000-0000A9140000}"/>
    <cellStyle name="Normal 4 3 3 7 3 2" xfId="14850" xr:uid="{62A993FD-30DE-45A3-B127-7271DD600DE7}"/>
    <cellStyle name="Normal 4 3 3 7 4" xfId="10632" xr:uid="{F24170A5-2FE3-4A6F-A6A9-D2896A44EA66}"/>
    <cellStyle name="Normal 4 3 3 8" xfId="2530" xr:uid="{00000000-0005-0000-0000-0000AA140000}"/>
    <cellStyle name="Normal 4 3 3 8 2" xfId="6813" xr:uid="{00000000-0005-0000-0000-0000AB140000}"/>
    <cellStyle name="Normal 4 3 3 8 2 2" xfId="15263" xr:uid="{E93481C0-4823-41E3-9D4C-E049F0C81642}"/>
    <cellStyle name="Normal 4 3 3 8 3" xfId="11045" xr:uid="{C8B08CF2-0699-4C8D-8F96-0AA67FB9BEF5}"/>
    <cellStyle name="Normal 4 3 3 9" xfId="4748" xr:uid="{00000000-0005-0000-0000-0000AC140000}"/>
    <cellStyle name="Normal 4 3 3 9 2" xfId="13198" xr:uid="{FBE8AD3D-60F1-43BA-8169-6650B8173F9F}"/>
    <cellStyle name="Normal 4 3 4" xfId="842" xr:uid="{00000000-0005-0000-0000-0000AD140000}"/>
    <cellStyle name="Normal 4 3 4 2" xfId="3079" xr:uid="{00000000-0005-0000-0000-0000AE140000}"/>
    <cellStyle name="Normal 4 3 4 2 2" xfId="7301" xr:uid="{00000000-0005-0000-0000-0000AF140000}"/>
    <cellStyle name="Normal 4 3 4 2 2 2" xfId="15751" xr:uid="{5D95D567-8F3A-48F4-918E-5BC9D47F12D3}"/>
    <cellStyle name="Normal 4 3 4 2 3" xfId="11533" xr:uid="{D9A3911B-E91A-4980-8F4C-5684BD5A958C}"/>
    <cellStyle name="Normal 4 3 4 3" xfId="5156" xr:uid="{00000000-0005-0000-0000-0000B0140000}"/>
    <cellStyle name="Normal 4 3 4 3 2" xfId="13606" xr:uid="{61B53691-E305-453A-B645-7AF4B534576A}"/>
    <cellStyle name="Normal 4 3 4 4" xfId="9388" xr:uid="{6B4A18DF-FE02-42D7-95C4-51DDBDA66E3D}"/>
    <cellStyle name="Normal 4 3 5" xfId="1262" xr:uid="{00000000-0005-0000-0000-0000B1140000}"/>
    <cellStyle name="Normal 4 3 5 2" xfId="3492" xr:uid="{00000000-0005-0000-0000-0000B2140000}"/>
    <cellStyle name="Normal 4 3 5 2 2" xfId="7714" xr:uid="{00000000-0005-0000-0000-0000B3140000}"/>
    <cellStyle name="Normal 4 3 5 2 2 2" xfId="16164" xr:uid="{312D3BB0-84DA-42F7-8FD6-DC7277068673}"/>
    <cellStyle name="Normal 4 3 5 2 3" xfId="11946" xr:uid="{AE6209E4-2518-486F-9A0C-188FFBC6587D}"/>
    <cellStyle name="Normal 4 3 5 3" xfId="5569" xr:uid="{00000000-0005-0000-0000-0000B4140000}"/>
    <cellStyle name="Normal 4 3 5 3 2" xfId="14019" xr:uid="{D0CEDFF4-1164-4FF8-B800-A1BAEB2EC4C1}"/>
    <cellStyle name="Normal 4 3 5 4" xfId="9801" xr:uid="{39544BAD-4100-408E-A6F7-1131F9EDB79E}"/>
    <cellStyle name="Normal 4 3 6" xfId="1675" xr:uid="{00000000-0005-0000-0000-0000B5140000}"/>
    <cellStyle name="Normal 4 3 6 2" xfId="3905" xr:uid="{00000000-0005-0000-0000-0000B6140000}"/>
    <cellStyle name="Normal 4 3 6 2 2" xfId="8127" xr:uid="{00000000-0005-0000-0000-0000B7140000}"/>
    <cellStyle name="Normal 4 3 6 2 2 2" xfId="16577" xr:uid="{A12C94F4-18EA-4A68-AA5F-4829440F7648}"/>
    <cellStyle name="Normal 4 3 6 2 3" xfId="12359" xr:uid="{FF07B2DB-A573-4D22-895C-7D65BAA7206C}"/>
    <cellStyle name="Normal 4 3 6 3" xfId="5982" xr:uid="{00000000-0005-0000-0000-0000B8140000}"/>
    <cellStyle name="Normal 4 3 6 3 2" xfId="14432" xr:uid="{DBC595FA-A5BE-4536-8782-87D7761C1D7F}"/>
    <cellStyle name="Normal 4 3 6 4" xfId="10214" xr:uid="{25B7ACD3-D492-48F2-92BC-9FE77BF7D8CB}"/>
    <cellStyle name="Normal 4 3 7" xfId="2089" xr:uid="{00000000-0005-0000-0000-0000B9140000}"/>
    <cellStyle name="Normal 4 3 7 2" xfId="4318" xr:uid="{00000000-0005-0000-0000-0000BA140000}"/>
    <cellStyle name="Normal 4 3 7 2 2" xfId="8540" xr:uid="{00000000-0005-0000-0000-0000BB140000}"/>
    <cellStyle name="Normal 4 3 7 2 2 2" xfId="16990" xr:uid="{7DCB6692-9C9A-4283-A8EE-E30257CF91DA}"/>
    <cellStyle name="Normal 4 3 7 2 3" xfId="12772" xr:uid="{459943A0-C419-45A5-B55E-1DD2C2D1FFA2}"/>
    <cellStyle name="Normal 4 3 7 3" xfId="6395" xr:uid="{00000000-0005-0000-0000-0000BC140000}"/>
    <cellStyle name="Normal 4 3 7 3 2" xfId="14845" xr:uid="{DADEC638-5D3E-41FC-9C85-22EA340D9463}"/>
    <cellStyle name="Normal 4 3 7 4" xfId="10627" xr:uid="{7ECFFA20-A974-49AD-82C5-97A420C7597C}"/>
    <cellStyle name="Normal 4 3 8" xfId="2525" xr:uid="{00000000-0005-0000-0000-0000BD140000}"/>
    <cellStyle name="Normal 4 3 8 2" xfId="6808" xr:uid="{00000000-0005-0000-0000-0000BE140000}"/>
    <cellStyle name="Normal 4 3 8 2 2" xfId="15258" xr:uid="{B0D8594F-E96E-4480-ADC1-36B565133D2A}"/>
    <cellStyle name="Normal 4 3 8 3" xfId="11040" xr:uid="{346103DE-5A4E-4DA5-A6D0-BCD4FB4B920D}"/>
    <cellStyle name="Normal 4 3 9" xfId="4743" xr:uid="{00000000-0005-0000-0000-0000BF140000}"/>
    <cellStyle name="Normal 4 3 9 2" xfId="13193" xr:uid="{06C49B9B-CE6D-48BB-8D43-0F8E016EC600}"/>
    <cellStyle name="Normal 4 4" xfId="378" xr:uid="{00000000-0005-0000-0000-0000C0140000}"/>
    <cellStyle name="Normal 4 4 10" xfId="2534" xr:uid="{00000000-0005-0000-0000-0000C1140000}"/>
    <cellStyle name="Normal 4 4 10 2" xfId="6817" xr:uid="{00000000-0005-0000-0000-0000C2140000}"/>
    <cellStyle name="Normal 4 4 10 2 2" xfId="15267" xr:uid="{0830A70E-52CB-47A1-A256-0A585BADF92D}"/>
    <cellStyle name="Normal 4 4 10 3" xfId="11049" xr:uid="{43381338-FED1-47D2-81A6-E4EA5680B870}"/>
    <cellStyle name="Normal 4 4 11" xfId="4752" xr:uid="{00000000-0005-0000-0000-0000C3140000}"/>
    <cellStyle name="Normal 4 4 11 2" xfId="13202" xr:uid="{DFFE91FC-72E5-4E08-83BC-7E5B3879DC74}"/>
    <cellStyle name="Normal 4 4 12" xfId="8984" xr:uid="{6E547388-67B3-48B0-A4CA-CCBF27C43BBE}"/>
    <cellStyle name="Normal 4 4 2" xfId="379" xr:uid="{00000000-0005-0000-0000-0000C4140000}"/>
    <cellStyle name="Normal 4 4 2 10" xfId="4753" xr:uid="{00000000-0005-0000-0000-0000C5140000}"/>
    <cellStyle name="Normal 4 4 2 10 2" xfId="13203" xr:uid="{14423D6E-562A-456F-8D54-C5FF5B1AD731}"/>
    <cellStyle name="Normal 4 4 2 11" xfId="8985" xr:uid="{4EA7FB24-8166-4276-852A-D453BCC7F03B}"/>
    <cellStyle name="Normal 4 4 2 2" xfId="380" xr:uid="{00000000-0005-0000-0000-0000C6140000}"/>
    <cellStyle name="Normal 4 4 2 2 10" xfId="8986" xr:uid="{488B93A0-D50C-4CE6-897B-624FAF06A84F}"/>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2 2 2" xfId="15764" xr:uid="{2AAE1E06-A3E7-4BC4-97C3-0D1100677585}"/>
    <cellStyle name="Normal 4 4 2 2 2 2 2 2 3" xfId="11546" xr:uid="{D1C86F7B-93E7-4B9A-B9E1-5AE57FA64563}"/>
    <cellStyle name="Normal 4 4 2 2 2 2 2 3" xfId="5169" xr:uid="{00000000-0005-0000-0000-0000CC140000}"/>
    <cellStyle name="Normal 4 4 2 2 2 2 2 3 2" xfId="13619" xr:uid="{87385A5C-8879-488A-9251-42B55C6129B2}"/>
    <cellStyle name="Normal 4 4 2 2 2 2 2 4" xfId="9401" xr:uid="{96172A5D-FCC4-4D5C-A1F5-5D94A6E3DB9E}"/>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2 2 2" xfId="16177" xr:uid="{41B64D76-F4AA-49BE-9946-4881BD0E7C7F}"/>
    <cellStyle name="Normal 4 4 2 2 2 2 3 2 3" xfId="11959" xr:uid="{9FD4C50B-86CA-4D0D-81E2-2BD6BC3721F5}"/>
    <cellStyle name="Normal 4 4 2 2 2 2 3 3" xfId="5582" xr:uid="{00000000-0005-0000-0000-0000D0140000}"/>
    <cellStyle name="Normal 4 4 2 2 2 2 3 3 2" xfId="14032" xr:uid="{B27CE9A8-8BCF-45D1-96C1-A60A3C642E7A}"/>
    <cellStyle name="Normal 4 4 2 2 2 2 3 4" xfId="9814" xr:uid="{4E6E5A37-5464-4BB0-8339-A3CE7B6FA621}"/>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2 2 2" xfId="16590" xr:uid="{3DB73383-9A8A-44D9-AF49-C9A7EC5DB3A7}"/>
    <cellStyle name="Normal 4 4 2 2 2 2 4 2 3" xfId="12372" xr:uid="{E0211B6E-5563-4B12-BBDF-7AD6B041C25C}"/>
    <cellStyle name="Normal 4 4 2 2 2 2 4 3" xfId="5995" xr:uid="{00000000-0005-0000-0000-0000D4140000}"/>
    <cellStyle name="Normal 4 4 2 2 2 2 4 3 2" xfId="14445" xr:uid="{5B341D33-4993-47D8-AD23-84EC44282163}"/>
    <cellStyle name="Normal 4 4 2 2 2 2 4 4" xfId="10227" xr:uid="{5BFBCB46-0271-4B3B-A740-79FBBA1B2425}"/>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2 2 2" xfId="17003" xr:uid="{1670C2DA-3334-4AEC-960E-892617C6C605}"/>
    <cellStyle name="Normal 4 4 2 2 2 2 5 2 3" xfId="12785" xr:uid="{BC3A4C27-A98F-42AA-B206-CF1E911FF386}"/>
    <cellStyle name="Normal 4 4 2 2 2 2 5 3" xfId="6408" xr:uid="{00000000-0005-0000-0000-0000D8140000}"/>
    <cellStyle name="Normal 4 4 2 2 2 2 5 3 2" xfId="14858" xr:uid="{7C3CFD5E-C3E4-4F4D-888A-180A4AC86D65}"/>
    <cellStyle name="Normal 4 4 2 2 2 2 5 4" xfId="10640" xr:uid="{F57D5990-2617-44B3-8C48-CC37910DEA02}"/>
    <cellStyle name="Normal 4 4 2 2 2 2 6" xfId="2538" xr:uid="{00000000-0005-0000-0000-0000D9140000}"/>
    <cellStyle name="Normal 4 4 2 2 2 2 6 2" xfId="6821" xr:uid="{00000000-0005-0000-0000-0000DA140000}"/>
    <cellStyle name="Normal 4 4 2 2 2 2 6 2 2" xfId="15271" xr:uid="{C9F7B86A-1A19-471C-9EF9-F79DA5144CB2}"/>
    <cellStyle name="Normal 4 4 2 2 2 2 6 3" xfId="11053" xr:uid="{EC4B51B8-7A41-4370-95FD-0669937AD047}"/>
    <cellStyle name="Normal 4 4 2 2 2 2 7" xfId="4756" xr:uid="{00000000-0005-0000-0000-0000DB140000}"/>
    <cellStyle name="Normal 4 4 2 2 2 2 7 2" xfId="13206" xr:uid="{4CC759B6-15B7-4C46-A5B9-3EA736C8281C}"/>
    <cellStyle name="Normal 4 4 2 2 2 2 8" xfId="8988" xr:uid="{4CFA61B0-47FE-4396-81B6-B92C95C51B59}"/>
    <cellStyle name="Normal 4 4 2 2 2 3" xfId="856" xr:uid="{00000000-0005-0000-0000-0000DC140000}"/>
    <cellStyle name="Normal 4 4 2 2 2 3 2" xfId="3091" xr:uid="{00000000-0005-0000-0000-0000DD140000}"/>
    <cellStyle name="Normal 4 4 2 2 2 3 2 2" xfId="7313" xr:uid="{00000000-0005-0000-0000-0000DE140000}"/>
    <cellStyle name="Normal 4 4 2 2 2 3 2 2 2" xfId="15763" xr:uid="{4152C7AC-DDE7-43AE-A201-2D4ACB854897}"/>
    <cellStyle name="Normal 4 4 2 2 2 3 2 3" xfId="11545" xr:uid="{216C0492-A094-4220-AFFE-7B1D2E62D875}"/>
    <cellStyle name="Normal 4 4 2 2 2 3 3" xfId="5168" xr:uid="{00000000-0005-0000-0000-0000DF140000}"/>
    <cellStyle name="Normal 4 4 2 2 2 3 3 2" xfId="13618" xr:uid="{FA14C751-4259-4D63-996D-CC038C438489}"/>
    <cellStyle name="Normal 4 4 2 2 2 3 4" xfId="9400" xr:uid="{EE798167-E456-4B70-86A3-C160C9719547}"/>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2 2 2" xfId="16176" xr:uid="{529F5D79-2721-494B-86E9-F5F74C44A708}"/>
    <cellStyle name="Normal 4 4 2 2 2 4 2 3" xfId="11958" xr:uid="{0C1EE0B5-AB56-4B52-A12B-12D4E0EF1829}"/>
    <cellStyle name="Normal 4 4 2 2 2 4 3" xfId="5581" xr:uid="{00000000-0005-0000-0000-0000E3140000}"/>
    <cellStyle name="Normal 4 4 2 2 2 4 3 2" xfId="14031" xr:uid="{E03E5459-E67D-4268-B468-00FA2121EF77}"/>
    <cellStyle name="Normal 4 4 2 2 2 4 4" xfId="9813" xr:uid="{75FD22CD-3BC9-444D-BEC7-FFA84E3E553C}"/>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2 2 2" xfId="16589" xr:uid="{B3F0E42F-EC19-4904-BB03-B73E97090A3D}"/>
    <cellStyle name="Normal 4 4 2 2 2 5 2 3" xfId="12371" xr:uid="{981AC1C7-C655-4FCF-9849-6DED42FF96CF}"/>
    <cellStyle name="Normal 4 4 2 2 2 5 3" xfId="5994" xr:uid="{00000000-0005-0000-0000-0000E7140000}"/>
    <cellStyle name="Normal 4 4 2 2 2 5 3 2" xfId="14444" xr:uid="{FE8A32D5-8B7A-4FB9-B7C9-F31C0CA0DBDF}"/>
    <cellStyle name="Normal 4 4 2 2 2 5 4" xfId="10226" xr:uid="{3305852B-DC64-4B5C-B90B-C137802348A1}"/>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2 2 2" xfId="17002" xr:uid="{5064DDE1-CDA1-4EF8-8A7E-720E65378D17}"/>
    <cellStyle name="Normal 4 4 2 2 2 6 2 3" xfId="12784" xr:uid="{F4C7D9BB-5DB2-4D36-8663-7A89AAE561CB}"/>
    <cellStyle name="Normal 4 4 2 2 2 6 3" xfId="6407" xr:uid="{00000000-0005-0000-0000-0000EB140000}"/>
    <cellStyle name="Normal 4 4 2 2 2 6 3 2" xfId="14857" xr:uid="{C68C351E-BB4C-4831-8056-020011F511CA}"/>
    <cellStyle name="Normal 4 4 2 2 2 6 4" xfId="10639" xr:uid="{C7E31444-747B-4861-8380-49A958D9EC3E}"/>
    <cellStyle name="Normal 4 4 2 2 2 7" xfId="2537" xr:uid="{00000000-0005-0000-0000-0000EC140000}"/>
    <cellStyle name="Normal 4 4 2 2 2 7 2" xfId="6820" xr:uid="{00000000-0005-0000-0000-0000ED140000}"/>
    <cellStyle name="Normal 4 4 2 2 2 7 2 2" xfId="15270" xr:uid="{D789A867-9D5F-426E-99F9-B77259E650B5}"/>
    <cellStyle name="Normal 4 4 2 2 2 7 3" xfId="11052" xr:uid="{83841E8A-40A1-4A88-9C3A-8C3B6B430B83}"/>
    <cellStyle name="Normal 4 4 2 2 2 8" xfId="4755" xr:uid="{00000000-0005-0000-0000-0000EE140000}"/>
    <cellStyle name="Normal 4 4 2 2 2 8 2" xfId="13205" xr:uid="{342EF781-BF8A-4B07-A5A7-5B9FFEF5CC8C}"/>
    <cellStyle name="Normal 4 4 2 2 2 9" xfId="8987" xr:uid="{4DD3E71D-A202-4AFC-86DA-46B6D187072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2 2 2" xfId="15765" xr:uid="{B335385E-B6C7-4191-896E-679BC576F6E3}"/>
    <cellStyle name="Normal 4 4 2 2 3 2 2 3" xfId="11547" xr:uid="{615D0F83-596C-40BA-B5C3-593539B1AF27}"/>
    <cellStyle name="Normal 4 4 2 2 3 2 3" xfId="5170" xr:uid="{00000000-0005-0000-0000-0000F3140000}"/>
    <cellStyle name="Normal 4 4 2 2 3 2 3 2" xfId="13620" xr:uid="{37566DF7-A942-4055-8C4B-91E7122415F4}"/>
    <cellStyle name="Normal 4 4 2 2 3 2 4" xfId="9402" xr:uid="{A4745C08-4543-4641-AFDE-0C53460AB39A}"/>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2 2 2" xfId="16178" xr:uid="{4CF94A91-AB85-4EA0-B98F-9885F44D08B3}"/>
    <cellStyle name="Normal 4 4 2 2 3 3 2 3" xfId="11960" xr:uid="{19C61265-19D3-4852-8CE5-8D97A3F136B1}"/>
    <cellStyle name="Normal 4 4 2 2 3 3 3" xfId="5583" xr:uid="{00000000-0005-0000-0000-0000F7140000}"/>
    <cellStyle name="Normal 4 4 2 2 3 3 3 2" xfId="14033" xr:uid="{91D2D5F6-9380-4ACC-A55D-7B8B04C36543}"/>
    <cellStyle name="Normal 4 4 2 2 3 3 4" xfId="9815" xr:uid="{F5C75043-E6F1-4194-822E-08A16EF01546}"/>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2 2 2" xfId="16591" xr:uid="{5DC57080-3F50-463F-B242-D74813F7512C}"/>
    <cellStyle name="Normal 4 4 2 2 3 4 2 3" xfId="12373" xr:uid="{F67FBA27-4112-47B0-A12D-57CB88242BCA}"/>
    <cellStyle name="Normal 4 4 2 2 3 4 3" xfId="5996" xr:uid="{00000000-0005-0000-0000-0000FB140000}"/>
    <cellStyle name="Normal 4 4 2 2 3 4 3 2" xfId="14446" xr:uid="{87F62337-BE28-4B9E-B239-A608864E45E3}"/>
    <cellStyle name="Normal 4 4 2 2 3 4 4" xfId="10228" xr:uid="{797212F6-9B33-41AC-A385-0AA3EAA13EC7}"/>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2 2 2" xfId="17004" xr:uid="{FE358D79-2421-46A6-81C6-912CAE656F7A}"/>
    <cellStyle name="Normal 4 4 2 2 3 5 2 3" xfId="12786" xr:uid="{AA2D45F7-105D-4BEE-BA13-4C8CDBB7D6FE}"/>
    <cellStyle name="Normal 4 4 2 2 3 5 3" xfId="6409" xr:uid="{00000000-0005-0000-0000-0000FF140000}"/>
    <cellStyle name="Normal 4 4 2 2 3 5 3 2" xfId="14859" xr:uid="{E931DA97-41B7-439A-98AB-B2023D83F654}"/>
    <cellStyle name="Normal 4 4 2 2 3 5 4" xfId="10641" xr:uid="{95249D3E-1C1A-4579-9E52-4AB0DB809FC6}"/>
    <cellStyle name="Normal 4 4 2 2 3 6" xfId="2539" xr:uid="{00000000-0005-0000-0000-000000150000}"/>
    <cellStyle name="Normal 4 4 2 2 3 6 2" xfId="6822" xr:uid="{00000000-0005-0000-0000-000001150000}"/>
    <cellStyle name="Normal 4 4 2 2 3 6 2 2" xfId="15272" xr:uid="{F48AB950-6BF7-49D7-9711-3ECC20C468D0}"/>
    <cellStyle name="Normal 4 4 2 2 3 6 3" xfId="11054" xr:uid="{9E95C11C-FC83-47F1-897B-2E2CD970BE3E}"/>
    <cellStyle name="Normal 4 4 2 2 3 7" xfId="4757" xr:uid="{00000000-0005-0000-0000-000002150000}"/>
    <cellStyle name="Normal 4 4 2 2 3 7 2" xfId="13207" xr:uid="{2B8FD210-BD62-4BD7-BE1B-46F5E4BEDF43}"/>
    <cellStyle name="Normal 4 4 2 2 3 8" xfId="8989" xr:uid="{1950345C-C9A2-4751-B77F-37BFA97A27A2}"/>
    <cellStyle name="Normal 4 4 2 2 4" xfId="855" xr:uid="{00000000-0005-0000-0000-000003150000}"/>
    <cellStyle name="Normal 4 4 2 2 4 2" xfId="3090" xr:uid="{00000000-0005-0000-0000-000004150000}"/>
    <cellStyle name="Normal 4 4 2 2 4 2 2" xfId="7312" xr:uid="{00000000-0005-0000-0000-000005150000}"/>
    <cellStyle name="Normal 4 4 2 2 4 2 2 2" xfId="15762" xr:uid="{5188AA41-E259-4813-B89F-2B848E7AAB07}"/>
    <cellStyle name="Normal 4 4 2 2 4 2 3" xfId="11544" xr:uid="{719E0D13-5F5E-4311-93D8-D71627E7B23F}"/>
    <cellStyle name="Normal 4 4 2 2 4 3" xfId="5167" xr:uid="{00000000-0005-0000-0000-000006150000}"/>
    <cellStyle name="Normal 4 4 2 2 4 3 2" xfId="13617" xr:uid="{8843D08F-3DDF-48E5-9EDA-569FBF88467E}"/>
    <cellStyle name="Normal 4 4 2 2 4 4" xfId="9399" xr:uid="{978CE5D0-9C04-454F-ACC2-D5D05D911885}"/>
    <cellStyle name="Normal 4 4 2 2 5" xfId="1273" xr:uid="{00000000-0005-0000-0000-000007150000}"/>
    <cellStyle name="Normal 4 4 2 2 5 2" xfId="3503" xr:uid="{00000000-0005-0000-0000-000008150000}"/>
    <cellStyle name="Normal 4 4 2 2 5 2 2" xfId="7725" xr:uid="{00000000-0005-0000-0000-000009150000}"/>
    <cellStyle name="Normal 4 4 2 2 5 2 2 2" xfId="16175" xr:uid="{51E716C3-7AC7-4514-9EDC-F66B49AB9AB0}"/>
    <cellStyle name="Normal 4 4 2 2 5 2 3" xfId="11957" xr:uid="{D5980432-01BA-40FF-8AFE-3F78C2D6B13B}"/>
    <cellStyle name="Normal 4 4 2 2 5 3" xfId="5580" xr:uid="{00000000-0005-0000-0000-00000A150000}"/>
    <cellStyle name="Normal 4 4 2 2 5 3 2" xfId="14030" xr:uid="{358A2862-B00E-4BF2-8084-B9E916E7C373}"/>
    <cellStyle name="Normal 4 4 2 2 5 4" xfId="9812" xr:uid="{6901EF49-9D9F-4388-9D78-A0AD148804DC}"/>
    <cellStyle name="Normal 4 4 2 2 6" xfId="1686" xr:uid="{00000000-0005-0000-0000-00000B150000}"/>
    <cellStyle name="Normal 4 4 2 2 6 2" xfId="3916" xr:uid="{00000000-0005-0000-0000-00000C150000}"/>
    <cellStyle name="Normal 4 4 2 2 6 2 2" xfId="8138" xr:uid="{00000000-0005-0000-0000-00000D150000}"/>
    <cellStyle name="Normal 4 4 2 2 6 2 2 2" xfId="16588" xr:uid="{96DBBC6E-6F58-414F-8B05-D379A7945FFE}"/>
    <cellStyle name="Normal 4 4 2 2 6 2 3" xfId="12370" xr:uid="{BE97B18D-C0C7-4308-8497-E63311C6FFEC}"/>
    <cellStyle name="Normal 4 4 2 2 6 3" xfId="5993" xr:uid="{00000000-0005-0000-0000-00000E150000}"/>
    <cellStyle name="Normal 4 4 2 2 6 3 2" xfId="14443" xr:uid="{1D60B11D-0129-4489-8AB9-EF8A26E59E37}"/>
    <cellStyle name="Normal 4 4 2 2 6 4" xfId="10225" xr:uid="{EE43BF79-BE4E-4051-89ED-0AB8AD91F9FF}"/>
    <cellStyle name="Normal 4 4 2 2 7" xfId="2100" xr:uid="{00000000-0005-0000-0000-00000F150000}"/>
    <cellStyle name="Normal 4 4 2 2 7 2" xfId="4329" xr:uid="{00000000-0005-0000-0000-000010150000}"/>
    <cellStyle name="Normal 4 4 2 2 7 2 2" xfId="8551" xr:uid="{00000000-0005-0000-0000-000011150000}"/>
    <cellStyle name="Normal 4 4 2 2 7 2 2 2" xfId="17001" xr:uid="{FE950DA6-3B62-4FDB-BB53-4A872333E918}"/>
    <cellStyle name="Normal 4 4 2 2 7 2 3" xfId="12783" xr:uid="{1875049F-A63E-4CEA-A4FD-A2CACDFCD36C}"/>
    <cellStyle name="Normal 4 4 2 2 7 3" xfId="6406" xr:uid="{00000000-0005-0000-0000-000012150000}"/>
    <cellStyle name="Normal 4 4 2 2 7 3 2" xfId="14856" xr:uid="{CF82BBCD-CEE8-474D-97DA-DDB5B528B088}"/>
    <cellStyle name="Normal 4 4 2 2 7 4" xfId="10638" xr:uid="{75CE0D08-7256-4F3E-B915-CEE64ADC1A69}"/>
    <cellStyle name="Normal 4 4 2 2 8" xfId="2536" xr:uid="{00000000-0005-0000-0000-000013150000}"/>
    <cellStyle name="Normal 4 4 2 2 8 2" xfId="6819" xr:uid="{00000000-0005-0000-0000-000014150000}"/>
    <cellStyle name="Normal 4 4 2 2 8 2 2" xfId="15269" xr:uid="{2D0118F3-0AA7-40A4-A67D-AD493B222716}"/>
    <cellStyle name="Normal 4 4 2 2 8 3" xfId="11051" xr:uid="{50B55E31-736F-4FAE-AF75-02B7247AA579}"/>
    <cellStyle name="Normal 4 4 2 2 9" xfId="4754" xr:uid="{00000000-0005-0000-0000-000015150000}"/>
    <cellStyle name="Normal 4 4 2 2 9 2" xfId="13204" xr:uid="{8C929410-07F7-4F51-B6D2-9982388F807B}"/>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2 2 2" xfId="15767" xr:uid="{D5E54BEB-0198-4C15-8438-CD04DABD449F}"/>
    <cellStyle name="Normal 4 4 2 3 2 2 2 3" xfId="11549" xr:uid="{23A376EC-5225-4614-9A2F-29D066AD14C2}"/>
    <cellStyle name="Normal 4 4 2 3 2 2 3" xfId="5172" xr:uid="{00000000-0005-0000-0000-00001B150000}"/>
    <cellStyle name="Normal 4 4 2 3 2 2 3 2" xfId="13622" xr:uid="{D77962BD-9F58-422A-A43A-AD74FE771173}"/>
    <cellStyle name="Normal 4 4 2 3 2 2 4" xfId="9404" xr:uid="{5AA1B19D-FFE0-4F62-BBA9-F773428D3DA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2 2 2" xfId="16180" xr:uid="{542719A7-DC51-49CA-BAB7-3DF8F6A851D0}"/>
    <cellStyle name="Normal 4 4 2 3 2 3 2 3" xfId="11962" xr:uid="{E9547A2A-2C42-4A92-BFD7-270FDC39A415}"/>
    <cellStyle name="Normal 4 4 2 3 2 3 3" xfId="5585" xr:uid="{00000000-0005-0000-0000-00001F150000}"/>
    <cellStyle name="Normal 4 4 2 3 2 3 3 2" xfId="14035" xr:uid="{3F6F8D5A-B2DF-4B7D-A577-201AF24593D8}"/>
    <cellStyle name="Normal 4 4 2 3 2 3 4" xfId="9817" xr:uid="{49061DF0-B4B5-4A9C-B4F2-88CBDD114A9B}"/>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2 2 2" xfId="16593" xr:uid="{F6D9B2BF-08D2-46D4-A7BD-83403EE25887}"/>
    <cellStyle name="Normal 4 4 2 3 2 4 2 3" xfId="12375" xr:uid="{5EE28148-0CCE-4C55-88EE-34E4DF51FE73}"/>
    <cellStyle name="Normal 4 4 2 3 2 4 3" xfId="5998" xr:uid="{00000000-0005-0000-0000-000023150000}"/>
    <cellStyle name="Normal 4 4 2 3 2 4 3 2" xfId="14448" xr:uid="{4F993278-3D77-4770-ABFC-5EE9F45DD67B}"/>
    <cellStyle name="Normal 4 4 2 3 2 4 4" xfId="10230" xr:uid="{8C5DD933-E6EF-4B45-867C-CB35D32DE005}"/>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2 2 2" xfId="17006" xr:uid="{1008D58E-9207-4CA5-8158-F6599F91FE72}"/>
    <cellStyle name="Normal 4 4 2 3 2 5 2 3" xfId="12788" xr:uid="{F695DF6A-99EC-4A14-A95F-03ADDDA63BA6}"/>
    <cellStyle name="Normal 4 4 2 3 2 5 3" xfId="6411" xr:uid="{00000000-0005-0000-0000-000027150000}"/>
    <cellStyle name="Normal 4 4 2 3 2 5 3 2" xfId="14861" xr:uid="{41A8288A-7FB9-47D1-ABC0-DCA47979C628}"/>
    <cellStyle name="Normal 4 4 2 3 2 5 4" xfId="10643" xr:uid="{4EA6E779-518F-4C92-83E3-4D3EA1999AA5}"/>
    <cellStyle name="Normal 4 4 2 3 2 6" xfId="2541" xr:uid="{00000000-0005-0000-0000-000028150000}"/>
    <cellStyle name="Normal 4 4 2 3 2 6 2" xfId="6824" xr:uid="{00000000-0005-0000-0000-000029150000}"/>
    <cellStyle name="Normal 4 4 2 3 2 6 2 2" xfId="15274" xr:uid="{2AC9C4A9-A246-46E1-810E-6EAA1D1FF818}"/>
    <cellStyle name="Normal 4 4 2 3 2 6 3" xfId="11056" xr:uid="{47FD743D-2142-4270-8715-46A855CA4934}"/>
    <cellStyle name="Normal 4 4 2 3 2 7" xfId="4759" xr:uid="{00000000-0005-0000-0000-00002A150000}"/>
    <cellStyle name="Normal 4 4 2 3 2 7 2" xfId="13209" xr:uid="{30DEAD0F-64E7-44D3-B1E8-BE18DB35B78E}"/>
    <cellStyle name="Normal 4 4 2 3 2 8" xfId="8991" xr:uid="{D91A755F-BDDF-41DE-BAEF-398B54D774A2}"/>
    <cellStyle name="Normal 4 4 2 3 3" xfId="859" xr:uid="{00000000-0005-0000-0000-00002B150000}"/>
    <cellStyle name="Normal 4 4 2 3 3 2" xfId="3094" xr:uid="{00000000-0005-0000-0000-00002C150000}"/>
    <cellStyle name="Normal 4 4 2 3 3 2 2" xfId="7316" xr:uid="{00000000-0005-0000-0000-00002D150000}"/>
    <cellStyle name="Normal 4 4 2 3 3 2 2 2" xfId="15766" xr:uid="{1FDB78A8-AE17-4229-A0D4-7F514B7361EA}"/>
    <cellStyle name="Normal 4 4 2 3 3 2 3" xfId="11548" xr:uid="{3387A392-8CFF-4872-A71B-7C0935DCB1DE}"/>
    <cellStyle name="Normal 4 4 2 3 3 3" xfId="5171" xr:uid="{00000000-0005-0000-0000-00002E150000}"/>
    <cellStyle name="Normal 4 4 2 3 3 3 2" xfId="13621" xr:uid="{28F2BDE7-36E9-4881-9B5E-A53D284BD565}"/>
    <cellStyle name="Normal 4 4 2 3 3 4" xfId="9403" xr:uid="{0E837C67-2A50-461E-B046-42E6038E6A8E}"/>
    <cellStyle name="Normal 4 4 2 3 4" xfId="1277" xr:uid="{00000000-0005-0000-0000-00002F150000}"/>
    <cellStyle name="Normal 4 4 2 3 4 2" xfId="3507" xr:uid="{00000000-0005-0000-0000-000030150000}"/>
    <cellStyle name="Normal 4 4 2 3 4 2 2" xfId="7729" xr:uid="{00000000-0005-0000-0000-000031150000}"/>
    <cellStyle name="Normal 4 4 2 3 4 2 2 2" xfId="16179" xr:uid="{3D1B6F58-491D-489C-A71C-788312227B70}"/>
    <cellStyle name="Normal 4 4 2 3 4 2 3" xfId="11961" xr:uid="{4C5E00BC-F7BF-488C-B8C3-CA1B873DF0CC}"/>
    <cellStyle name="Normal 4 4 2 3 4 3" xfId="5584" xr:uid="{00000000-0005-0000-0000-000032150000}"/>
    <cellStyle name="Normal 4 4 2 3 4 3 2" xfId="14034" xr:uid="{049FFA2D-AE72-461E-8228-8EE2CADE28F6}"/>
    <cellStyle name="Normal 4 4 2 3 4 4" xfId="9816" xr:uid="{69DA1F16-01D6-4C66-A8BE-81FD56532F8C}"/>
    <cellStyle name="Normal 4 4 2 3 5" xfId="1690" xr:uid="{00000000-0005-0000-0000-000033150000}"/>
    <cellStyle name="Normal 4 4 2 3 5 2" xfId="3920" xr:uid="{00000000-0005-0000-0000-000034150000}"/>
    <cellStyle name="Normal 4 4 2 3 5 2 2" xfId="8142" xr:uid="{00000000-0005-0000-0000-000035150000}"/>
    <cellStyle name="Normal 4 4 2 3 5 2 2 2" xfId="16592" xr:uid="{7C206DCB-5F5D-486F-B868-10A673DC582B}"/>
    <cellStyle name="Normal 4 4 2 3 5 2 3" xfId="12374" xr:uid="{BB8CA9BE-2037-4235-82DD-035128007B3A}"/>
    <cellStyle name="Normal 4 4 2 3 5 3" xfId="5997" xr:uid="{00000000-0005-0000-0000-000036150000}"/>
    <cellStyle name="Normal 4 4 2 3 5 3 2" xfId="14447" xr:uid="{EE339276-9BFB-4A09-8E51-CF4693444407}"/>
    <cellStyle name="Normal 4 4 2 3 5 4" xfId="10229" xr:uid="{C92B97AA-42E7-464B-8394-36A9A56C9410}"/>
    <cellStyle name="Normal 4 4 2 3 6" xfId="2104" xr:uid="{00000000-0005-0000-0000-000037150000}"/>
    <cellStyle name="Normal 4 4 2 3 6 2" xfId="4333" xr:uid="{00000000-0005-0000-0000-000038150000}"/>
    <cellStyle name="Normal 4 4 2 3 6 2 2" xfId="8555" xr:uid="{00000000-0005-0000-0000-000039150000}"/>
    <cellStyle name="Normal 4 4 2 3 6 2 2 2" xfId="17005" xr:uid="{D60494B1-7811-4155-B06F-E589BD484E3C}"/>
    <cellStyle name="Normal 4 4 2 3 6 2 3" xfId="12787" xr:uid="{88D655FA-BBA2-42FD-A416-C8DA7ABD0934}"/>
    <cellStyle name="Normal 4 4 2 3 6 3" xfId="6410" xr:uid="{00000000-0005-0000-0000-00003A150000}"/>
    <cellStyle name="Normal 4 4 2 3 6 3 2" xfId="14860" xr:uid="{2A8212D2-4ED8-432C-A2E5-AE0998E4D5CC}"/>
    <cellStyle name="Normal 4 4 2 3 6 4" xfId="10642" xr:uid="{BBE8624D-395D-4C74-83CA-2B24981997CD}"/>
    <cellStyle name="Normal 4 4 2 3 7" xfId="2540" xr:uid="{00000000-0005-0000-0000-00003B150000}"/>
    <cellStyle name="Normal 4 4 2 3 7 2" xfId="6823" xr:uid="{00000000-0005-0000-0000-00003C150000}"/>
    <cellStyle name="Normal 4 4 2 3 7 2 2" xfId="15273" xr:uid="{51C6C994-59AA-4777-9310-209DAB0325BB}"/>
    <cellStyle name="Normal 4 4 2 3 7 3" xfId="11055" xr:uid="{8310BAFF-137C-4342-B6AA-AC375C0275EF}"/>
    <cellStyle name="Normal 4 4 2 3 8" xfId="4758" xr:uid="{00000000-0005-0000-0000-00003D150000}"/>
    <cellStyle name="Normal 4 4 2 3 8 2" xfId="13208" xr:uid="{B7769622-F41E-4730-9483-0322859CD555}"/>
    <cellStyle name="Normal 4 4 2 3 9" xfId="8990" xr:uid="{D1D012F9-793C-4BA2-9C4C-3E3E634950F2}"/>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2 2 2" xfId="15768" xr:uid="{4FAEC0C1-3597-4F94-A16B-AAAB279AF9A7}"/>
    <cellStyle name="Normal 4 4 2 4 2 2 3" xfId="11550" xr:uid="{816EBDC2-F6A2-45ED-8B7B-99A1838E9F1D}"/>
    <cellStyle name="Normal 4 4 2 4 2 3" xfId="5173" xr:uid="{00000000-0005-0000-0000-000042150000}"/>
    <cellStyle name="Normal 4 4 2 4 2 3 2" xfId="13623" xr:uid="{E08A752E-0125-491D-B999-03BE883C0C9A}"/>
    <cellStyle name="Normal 4 4 2 4 2 4" xfId="9405" xr:uid="{CD59DBAD-9466-4054-AB2D-1D43B256B624}"/>
    <cellStyle name="Normal 4 4 2 4 3" xfId="1279" xr:uid="{00000000-0005-0000-0000-000043150000}"/>
    <cellStyle name="Normal 4 4 2 4 3 2" xfId="3509" xr:uid="{00000000-0005-0000-0000-000044150000}"/>
    <cellStyle name="Normal 4 4 2 4 3 2 2" xfId="7731" xr:uid="{00000000-0005-0000-0000-000045150000}"/>
    <cellStyle name="Normal 4 4 2 4 3 2 2 2" xfId="16181" xr:uid="{F5E89650-0D74-44B7-9671-ADC6F869C87D}"/>
    <cellStyle name="Normal 4 4 2 4 3 2 3" xfId="11963" xr:uid="{C8D82D1E-C1C3-4241-97D3-E826CED97414}"/>
    <cellStyle name="Normal 4 4 2 4 3 3" xfId="5586" xr:uid="{00000000-0005-0000-0000-000046150000}"/>
    <cellStyle name="Normal 4 4 2 4 3 3 2" xfId="14036" xr:uid="{3BA6C9F9-5F68-44A3-8665-BDEB96CA352A}"/>
    <cellStyle name="Normal 4 4 2 4 3 4" xfId="9818" xr:uid="{8AD54607-6CB8-4D62-BFAA-B8F04024B1A8}"/>
    <cellStyle name="Normal 4 4 2 4 4" xfId="1692" xr:uid="{00000000-0005-0000-0000-000047150000}"/>
    <cellStyle name="Normal 4 4 2 4 4 2" xfId="3922" xr:uid="{00000000-0005-0000-0000-000048150000}"/>
    <cellStyle name="Normal 4 4 2 4 4 2 2" xfId="8144" xr:uid="{00000000-0005-0000-0000-000049150000}"/>
    <cellStyle name="Normal 4 4 2 4 4 2 2 2" xfId="16594" xr:uid="{FCFCAF8A-109F-45CE-90E6-57EAC6E761EB}"/>
    <cellStyle name="Normal 4 4 2 4 4 2 3" xfId="12376" xr:uid="{5FF63F7C-F16A-4C57-9DBE-596935ABA049}"/>
    <cellStyle name="Normal 4 4 2 4 4 3" xfId="5999" xr:uid="{00000000-0005-0000-0000-00004A150000}"/>
    <cellStyle name="Normal 4 4 2 4 4 3 2" xfId="14449" xr:uid="{C2D3CC53-DC7B-4B2B-83A5-CD580E601818}"/>
    <cellStyle name="Normal 4 4 2 4 4 4" xfId="10231" xr:uid="{E8BA994C-EDB5-48CA-8DE5-453C3CC2008D}"/>
    <cellStyle name="Normal 4 4 2 4 5" xfId="2106" xr:uid="{00000000-0005-0000-0000-00004B150000}"/>
    <cellStyle name="Normal 4 4 2 4 5 2" xfId="4335" xr:uid="{00000000-0005-0000-0000-00004C150000}"/>
    <cellStyle name="Normal 4 4 2 4 5 2 2" xfId="8557" xr:uid="{00000000-0005-0000-0000-00004D150000}"/>
    <cellStyle name="Normal 4 4 2 4 5 2 2 2" xfId="17007" xr:uid="{C23ED294-AB04-476C-9B0E-5DE5374EDA5E}"/>
    <cellStyle name="Normal 4 4 2 4 5 2 3" xfId="12789" xr:uid="{8B2CA774-CA6D-4C6C-BEF5-6194836BCB7C}"/>
    <cellStyle name="Normal 4 4 2 4 5 3" xfId="6412" xr:uid="{00000000-0005-0000-0000-00004E150000}"/>
    <cellStyle name="Normal 4 4 2 4 5 3 2" xfId="14862" xr:uid="{118E6379-31C6-4D5D-9A0D-CA89B467F67E}"/>
    <cellStyle name="Normal 4 4 2 4 5 4" xfId="10644" xr:uid="{3FF1E221-7E2E-4136-8EEC-5FC7B4AAACBC}"/>
    <cellStyle name="Normal 4 4 2 4 6" xfId="2542" xr:uid="{00000000-0005-0000-0000-00004F150000}"/>
    <cellStyle name="Normal 4 4 2 4 6 2" xfId="6825" xr:uid="{00000000-0005-0000-0000-000050150000}"/>
    <cellStyle name="Normal 4 4 2 4 6 2 2" xfId="15275" xr:uid="{8903AE33-F850-468E-951C-99D62F3DD723}"/>
    <cellStyle name="Normal 4 4 2 4 6 3" xfId="11057" xr:uid="{3E759A05-E849-4FCD-BD9F-9F2DC19CB4F2}"/>
    <cellStyle name="Normal 4 4 2 4 7" xfId="4760" xr:uid="{00000000-0005-0000-0000-000051150000}"/>
    <cellStyle name="Normal 4 4 2 4 7 2" xfId="13210" xr:uid="{326BFDAB-3145-4360-B798-68EC05864E89}"/>
    <cellStyle name="Normal 4 4 2 4 8" xfId="8992" xr:uid="{03313DF6-706B-45E3-B11D-54C76E6FB297}"/>
    <cellStyle name="Normal 4 4 2 5" xfId="854" xr:uid="{00000000-0005-0000-0000-000052150000}"/>
    <cellStyle name="Normal 4 4 2 5 2" xfId="3089" xr:uid="{00000000-0005-0000-0000-000053150000}"/>
    <cellStyle name="Normal 4 4 2 5 2 2" xfId="7311" xr:uid="{00000000-0005-0000-0000-000054150000}"/>
    <cellStyle name="Normal 4 4 2 5 2 2 2" xfId="15761" xr:uid="{87D8ECB5-3764-4E45-B1A1-A088D04B7548}"/>
    <cellStyle name="Normal 4 4 2 5 2 3" xfId="11543" xr:uid="{4BE5E6BC-EE02-4544-8FB3-7DEBC8DC3EEC}"/>
    <cellStyle name="Normal 4 4 2 5 3" xfId="5166" xr:uid="{00000000-0005-0000-0000-000055150000}"/>
    <cellStyle name="Normal 4 4 2 5 3 2" xfId="13616" xr:uid="{3E489ECB-656D-4E7E-941B-5E36D51ED894}"/>
    <cellStyle name="Normal 4 4 2 5 4" xfId="9398" xr:uid="{C0A9CDAD-BEDE-46DF-A705-F5BD3EEAD381}"/>
    <cellStyle name="Normal 4 4 2 6" xfId="1272" xr:uid="{00000000-0005-0000-0000-000056150000}"/>
    <cellStyle name="Normal 4 4 2 6 2" xfId="3502" xr:uid="{00000000-0005-0000-0000-000057150000}"/>
    <cellStyle name="Normal 4 4 2 6 2 2" xfId="7724" xr:uid="{00000000-0005-0000-0000-000058150000}"/>
    <cellStyle name="Normal 4 4 2 6 2 2 2" xfId="16174" xr:uid="{5161AD62-6D6D-4D4B-9575-8CF3B9020EAE}"/>
    <cellStyle name="Normal 4 4 2 6 2 3" xfId="11956" xr:uid="{2E56F2E3-06EA-4241-BF04-25803276E036}"/>
    <cellStyle name="Normal 4 4 2 6 3" xfId="5579" xr:uid="{00000000-0005-0000-0000-000059150000}"/>
    <cellStyle name="Normal 4 4 2 6 3 2" xfId="14029" xr:uid="{DDB0788F-6CCF-4405-BC5F-F9EDEFFBDC8A}"/>
    <cellStyle name="Normal 4 4 2 6 4" xfId="9811" xr:uid="{C780B96C-0DA0-4CCA-8078-660140EA3B72}"/>
    <cellStyle name="Normal 4 4 2 7" xfId="1685" xr:uid="{00000000-0005-0000-0000-00005A150000}"/>
    <cellStyle name="Normal 4 4 2 7 2" xfId="3915" xr:uid="{00000000-0005-0000-0000-00005B150000}"/>
    <cellStyle name="Normal 4 4 2 7 2 2" xfId="8137" xr:uid="{00000000-0005-0000-0000-00005C150000}"/>
    <cellStyle name="Normal 4 4 2 7 2 2 2" xfId="16587" xr:uid="{8DA206BC-1BA9-481F-9D5D-1553CD965D70}"/>
    <cellStyle name="Normal 4 4 2 7 2 3" xfId="12369" xr:uid="{DF34E59F-8895-4BD6-BACD-998E415D6DF7}"/>
    <cellStyle name="Normal 4 4 2 7 3" xfId="5992" xr:uid="{00000000-0005-0000-0000-00005D150000}"/>
    <cellStyle name="Normal 4 4 2 7 3 2" xfId="14442" xr:uid="{FF1FC1EB-FD42-4526-893B-A027C1E33B0D}"/>
    <cellStyle name="Normal 4 4 2 7 4" xfId="10224" xr:uid="{0D1E136E-34CF-4D15-8A6D-78E6F6867EBB}"/>
    <cellStyle name="Normal 4 4 2 8" xfId="2099" xr:uid="{00000000-0005-0000-0000-00005E150000}"/>
    <cellStyle name="Normal 4 4 2 8 2" xfId="4328" xr:uid="{00000000-0005-0000-0000-00005F150000}"/>
    <cellStyle name="Normal 4 4 2 8 2 2" xfId="8550" xr:uid="{00000000-0005-0000-0000-000060150000}"/>
    <cellStyle name="Normal 4 4 2 8 2 2 2" xfId="17000" xr:uid="{23D8B88B-3FBC-4514-8FCF-75AE9B45078A}"/>
    <cellStyle name="Normal 4 4 2 8 2 3" xfId="12782" xr:uid="{A4DCFDF6-CB06-4095-87CF-3D9375E30AE2}"/>
    <cellStyle name="Normal 4 4 2 8 3" xfId="6405" xr:uid="{00000000-0005-0000-0000-000061150000}"/>
    <cellStyle name="Normal 4 4 2 8 3 2" xfId="14855" xr:uid="{08278034-62BB-426A-A75D-01EF21E78528}"/>
    <cellStyle name="Normal 4 4 2 8 4" xfId="10637" xr:uid="{7240158E-E534-4DE9-8F6A-B40CBF4A945E}"/>
    <cellStyle name="Normal 4 4 2 9" xfId="2535" xr:uid="{00000000-0005-0000-0000-000062150000}"/>
    <cellStyle name="Normal 4 4 2 9 2" xfId="6818" xr:uid="{00000000-0005-0000-0000-000063150000}"/>
    <cellStyle name="Normal 4 4 2 9 2 2" xfId="15268" xr:uid="{F71FE7B6-D964-4C46-9782-70EDC0DC03CC}"/>
    <cellStyle name="Normal 4 4 2 9 3" xfId="11050" xr:uid="{CA554E26-5665-4E61-8C6A-426D9D94B0E5}"/>
    <cellStyle name="Normal 4 4 3" xfId="387" xr:uid="{00000000-0005-0000-0000-000064150000}"/>
    <cellStyle name="Normal 4 4 3 10" xfId="8993" xr:uid="{3199D8C0-64AB-4B59-B0EB-A230D2D7FF3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2 2 2" xfId="15771" xr:uid="{0FC49989-A626-4050-8DBC-12E0297F0502}"/>
    <cellStyle name="Normal 4 4 3 2 2 2 2 3" xfId="11553" xr:uid="{313C94F3-1626-4708-8055-9D22D370240A}"/>
    <cellStyle name="Normal 4 4 3 2 2 2 3" xfId="5176" xr:uid="{00000000-0005-0000-0000-00006A150000}"/>
    <cellStyle name="Normal 4 4 3 2 2 2 3 2" xfId="13626" xr:uid="{6DEC4261-77E7-4D6D-A8DA-F93B15BFE411}"/>
    <cellStyle name="Normal 4 4 3 2 2 2 4" xfId="9408" xr:uid="{22403052-8EE7-48F9-8426-18BE7B1E2942}"/>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2 2 2" xfId="16184" xr:uid="{B9C609FB-07AE-45D5-A344-9E05351C2590}"/>
    <cellStyle name="Normal 4 4 3 2 2 3 2 3" xfId="11966" xr:uid="{28556FEC-D86A-4036-94E7-A51C6153F2B0}"/>
    <cellStyle name="Normal 4 4 3 2 2 3 3" xfId="5589" xr:uid="{00000000-0005-0000-0000-00006E150000}"/>
    <cellStyle name="Normal 4 4 3 2 2 3 3 2" xfId="14039" xr:uid="{FDE8C52C-7DBD-4C04-9F78-127619EA0FE2}"/>
    <cellStyle name="Normal 4 4 3 2 2 3 4" xfId="9821" xr:uid="{A2B22983-AF90-42A4-8CB2-53A4C01889E7}"/>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2 2 2" xfId="16597" xr:uid="{117EBF3C-8F30-4802-9412-81DEFE596BF2}"/>
    <cellStyle name="Normal 4 4 3 2 2 4 2 3" xfId="12379" xr:uid="{3818DD0E-EEC5-4F40-A846-E19C3BAB5ABB}"/>
    <cellStyle name="Normal 4 4 3 2 2 4 3" xfId="6002" xr:uid="{00000000-0005-0000-0000-000072150000}"/>
    <cellStyle name="Normal 4 4 3 2 2 4 3 2" xfId="14452" xr:uid="{C04050B1-D3CD-4902-82FB-6EF1B0C69E8A}"/>
    <cellStyle name="Normal 4 4 3 2 2 4 4" xfId="10234" xr:uid="{B74948A6-8DEF-4BA6-B3A6-3AF61B768D8D}"/>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2 2 2" xfId="17010" xr:uid="{975ADF6D-8C35-4958-9EB9-12B7E5E34D0F}"/>
    <cellStyle name="Normal 4 4 3 2 2 5 2 3" xfId="12792" xr:uid="{F0DC079B-9F50-43BF-9465-C9751C42D365}"/>
    <cellStyle name="Normal 4 4 3 2 2 5 3" xfId="6415" xr:uid="{00000000-0005-0000-0000-000076150000}"/>
    <cellStyle name="Normal 4 4 3 2 2 5 3 2" xfId="14865" xr:uid="{2B188DD9-EC40-4BEF-94C1-3B49627A6011}"/>
    <cellStyle name="Normal 4 4 3 2 2 5 4" xfId="10647" xr:uid="{4D11B954-C50A-4A40-AFC0-4C8FBC033D26}"/>
    <cellStyle name="Normal 4 4 3 2 2 6" xfId="2545" xr:uid="{00000000-0005-0000-0000-000077150000}"/>
    <cellStyle name="Normal 4 4 3 2 2 6 2" xfId="6828" xr:uid="{00000000-0005-0000-0000-000078150000}"/>
    <cellStyle name="Normal 4 4 3 2 2 6 2 2" xfId="15278" xr:uid="{27F6BB3C-DB97-433D-94C6-0AA1810FDA64}"/>
    <cellStyle name="Normal 4 4 3 2 2 6 3" xfId="11060" xr:uid="{4E9C641C-D93D-4A02-97FF-5304F52DBE4D}"/>
    <cellStyle name="Normal 4 4 3 2 2 7" xfId="4763" xr:uid="{00000000-0005-0000-0000-000079150000}"/>
    <cellStyle name="Normal 4 4 3 2 2 7 2" xfId="13213" xr:uid="{B5B5A7E0-A271-4997-B755-F50AD7740111}"/>
    <cellStyle name="Normal 4 4 3 2 2 8" xfId="8995" xr:uid="{B0F80E2A-67EA-4A8B-97B1-670D3F53A273}"/>
    <cellStyle name="Normal 4 4 3 2 3" xfId="863" xr:uid="{00000000-0005-0000-0000-00007A150000}"/>
    <cellStyle name="Normal 4 4 3 2 3 2" xfId="3098" xr:uid="{00000000-0005-0000-0000-00007B150000}"/>
    <cellStyle name="Normal 4 4 3 2 3 2 2" xfId="7320" xr:uid="{00000000-0005-0000-0000-00007C150000}"/>
    <cellStyle name="Normal 4 4 3 2 3 2 2 2" xfId="15770" xr:uid="{93F17C2F-E3A1-4C35-8B95-DFF341AA0CE1}"/>
    <cellStyle name="Normal 4 4 3 2 3 2 3" xfId="11552" xr:uid="{7EE871A7-603E-49EF-8236-0BAAC1F18FB9}"/>
    <cellStyle name="Normal 4 4 3 2 3 3" xfId="5175" xr:uid="{00000000-0005-0000-0000-00007D150000}"/>
    <cellStyle name="Normal 4 4 3 2 3 3 2" xfId="13625" xr:uid="{89E59C29-03EF-4F0D-B0F0-88005EF7FD0E}"/>
    <cellStyle name="Normal 4 4 3 2 3 4" xfId="9407" xr:uid="{AC9FD557-9296-4CD1-B317-241D67812860}"/>
    <cellStyle name="Normal 4 4 3 2 4" xfId="1281" xr:uid="{00000000-0005-0000-0000-00007E150000}"/>
    <cellStyle name="Normal 4 4 3 2 4 2" xfId="3511" xr:uid="{00000000-0005-0000-0000-00007F150000}"/>
    <cellStyle name="Normal 4 4 3 2 4 2 2" xfId="7733" xr:uid="{00000000-0005-0000-0000-000080150000}"/>
    <cellStyle name="Normal 4 4 3 2 4 2 2 2" xfId="16183" xr:uid="{780AC658-2384-4B5A-B592-9F8301616ACD}"/>
    <cellStyle name="Normal 4 4 3 2 4 2 3" xfId="11965" xr:uid="{01C01D74-00E1-4049-87B3-FDD12B1C9935}"/>
    <cellStyle name="Normal 4 4 3 2 4 3" xfId="5588" xr:uid="{00000000-0005-0000-0000-000081150000}"/>
    <cellStyle name="Normal 4 4 3 2 4 3 2" xfId="14038" xr:uid="{AD38978F-BBF2-40E0-B08F-5164708BD71D}"/>
    <cellStyle name="Normal 4 4 3 2 4 4" xfId="9820" xr:uid="{8EB5721F-2A89-4826-A06E-135271275CB9}"/>
    <cellStyle name="Normal 4 4 3 2 5" xfId="1694" xr:uid="{00000000-0005-0000-0000-000082150000}"/>
    <cellStyle name="Normal 4 4 3 2 5 2" xfId="3924" xr:uid="{00000000-0005-0000-0000-000083150000}"/>
    <cellStyle name="Normal 4 4 3 2 5 2 2" xfId="8146" xr:uid="{00000000-0005-0000-0000-000084150000}"/>
    <cellStyle name="Normal 4 4 3 2 5 2 2 2" xfId="16596" xr:uid="{93464E1A-E3A7-445A-B4DC-6873188FF72D}"/>
    <cellStyle name="Normal 4 4 3 2 5 2 3" xfId="12378" xr:uid="{10ED2AF9-AD6C-483E-8B43-F25CE0677D18}"/>
    <cellStyle name="Normal 4 4 3 2 5 3" xfId="6001" xr:uid="{00000000-0005-0000-0000-000085150000}"/>
    <cellStyle name="Normal 4 4 3 2 5 3 2" xfId="14451" xr:uid="{9F1AE724-F77A-4BD6-899D-8463CFF6240E}"/>
    <cellStyle name="Normal 4 4 3 2 5 4" xfId="10233" xr:uid="{74AB3B1A-8BCF-4161-A59A-BF9C996F5C4D}"/>
    <cellStyle name="Normal 4 4 3 2 6" xfId="2108" xr:uid="{00000000-0005-0000-0000-000086150000}"/>
    <cellStyle name="Normal 4 4 3 2 6 2" xfId="4337" xr:uid="{00000000-0005-0000-0000-000087150000}"/>
    <cellStyle name="Normal 4 4 3 2 6 2 2" xfId="8559" xr:uid="{00000000-0005-0000-0000-000088150000}"/>
    <cellStyle name="Normal 4 4 3 2 6 2 2 2" xfId="17009" xr:uid="{6D79DDAB-7817-420F-BFF5-818E9584559F}"/>
    <cellStyle name="Normal 4 4 3 2 6 2 3" xfId="12791" xr:uid="{65D2E8FA-B780-4993-B518-4C6A4FDA5113}"/>
    <cellStyle name="Normal 4 4 3 2 6 3" xfId="6414" xr:uid="{00000000-0005-0000-0000-000089150000}"/>
    <cellStyle name="Normal 4 4 3 2 6 3 2" xfId="14864" xr:uid="{3968AE47-D2EF-4A31-BC48-5AAD985EC5E5}"/>
    <cellStyle name="Normal 4 4 3 2 6 4" xfId="10646" xr:uid="{4803EC13-18D8-47A5-A49C-D962AD51601B}"/>
    <cellStyle name="Normal 4 4 3 2 7" xfId="2544" xr:uid="{00000000-0005-0000-0000-00008A150000}"/>
    <cellStyle name="Normal 4 4 3 2 7 2" xfId="6827" xr:uid="{00000000-0005-0000-0000-00008B150000}"/>
    <cellStyle name="Normal 4 4 3 2 7 2 2" xfId="15277" xr:uid="{9BCD3C2B-B426-4ED5-940E-32BE00F92750}"/>
    <cellStyle name="Normal 4 4 3 2 7 3" xfId="11059" xr:uid="{200268DE-5CDA-4B79-A037-66659DC351F7}"/>
    <cellStyle name="Normal 4 4 3 2 8" xfId="4762" xr:uid="{00000000-0005-0000-0000-00008C150000}"/>
    <cellStyle name="Normal 4 4 3 2 8 2" xfId="13212" xr:uid="{BC40C28A-75C1-4B8C-95C7-3DE826703800}"/>
    <cellStyle name="Normal 4 4 3 2 9" xfId="8994" xr:uid="{3327BD86-0F2E-4A3E-A6B9-03B02334F098}"/>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2 2 2" xfId="15772" xr:uid="{432A0E33-6E26-4BB7-92CF-79EFAFAC553C}"/>
    <cellStyle name="Normal 4 4 3 3 2 2 3" xfId="11554" xr:uid="{E39422C5-6ADA-4C77-835A-C1B271F0869B}"/>
    <cellStyle name="Normal 4 4 3 3 2 3" xfId="5177" xr:uid="{00000000-0005-0000-0000-000091150000}"/>
    <cellStyle name="Normal 4 4 3 3 2 3 2" xfId="13627" xr:uid="{B2EF319D-FC3D-4E57-A6D9-D280754645B9}"/>
    <cellStyle name="Normal 4 4 3 3 2 4" xfId="9409" xr:uid="{42B34B37-6D8F-4933-B9EF-C5B21B866AC6}"/>
    <cellStyle name="Normal 4 4 3 3 3" xfId="1283" xr:uid="{00000000-0005-0000-0000-000092150000}"/>
    <cellStyle name="Normal 4 4 3 3 3 2" xfId="3513" xr:uid="{00000000-0005-0000-0000-000093150000}"/>
    <cellStyle name="Normal 4 4 3 3 3 2 2" xfId="7735" xr:uid="{00000000-0005-0000-0000-000094150000}"/>
    <cellStyle name="Normal 4 4 3 3 3 2 2 2" xfId="16185" xr:uid="{42F24DE5-1CBB-45B4-9119-9CB825AF7B00}"/>
    <cellStyle name="Normal 4 4 3 3 3 2 3" xfId="11967" xr:uid="{8E366558-E8A7-46AD-A0AB-86E1A5A55EB6}"/>
    <cellStyle name="Normal 4 4 3 3 3 3" xfId="5590" xr:uid="{00000000-0005-0000-0000-000095150000}"/>
    <cellStyle name="Normal 4 4 3 3 3 3 2" xfId="14040" xr:uid="{0BD5E852-BE61-4745-B6C7-68BE97417CAA}"/>
    <cellStyle name="Normal 4 4 3 3 3 4" xfId="9822" xr:uid="{151890A0-8878-438D-8D73-0D3AF72B97EC}"/>
    <cellStyle name="Normal 4 4 3 3 4" xfId="1696" xr:uid="{00000000-0005-0000-0000-000096150000}"/>
    <cellStyle name="Normal 4 4 3 3 4 2" xfId="3926" xr:uid="{00000000-0005-0000-0000-000097150000}"/>
    <cellStyle name="Normal 4 4 3 3 4 2 2" xfId="8148" xr:uid="{00000000-0005-0000-0000-000098150000}"/>
    <cellStyle name="Normal 4 4 3 3 4 2 2 2" xfId="16598" xr:uid="{2A395A57-6AE4-4B24-9076-2A2469D21F8F}"/>
    <cellStyle name="Normal 4 4 3 3 4 2 3" xfId="12380" xr:uid="{67D8D035-0B9E-4BE7-87CD-3E44E2010E45}"/>
    <cellStyle name="Normal 4 4 3 3 4 3" xfId="6003" xr:uid="{00000000-0005-0000-0000-000099150000}"/>
    <cellStyle name="Normal 4 4 3 3 4 3 2" xfId="14453" xr:uid="{FBE84A4B-EEC8-4FEF-A550-1C7D6C29C1DF}"/>
    <cellStyle name="Normal 4 4 3 3 4 4" xfId="10235" xr:uid="{201054E3-7306-492D-B14A-EF4FDDD1BE34}"/>
    <cellStyle name="Normal 4 4 3 3 5" xfId="2110" xr:uid="{00000000-0005-0000-0000-00009A150000}"/>
    <cellStyle name="Normal 4 4 3 3 5 2" xfId="4339" xr:uid="{00000000-0005-0000-0000-00009B150000}"/>
    <cellStyle name="Normal 4 4 3 3 5 2 2" xfId="8561" xr:uid="{00000000-0005-0000-0000-00009C150000}"/>
    <cellStyle name="Normal 4 4 3 3 5 2 2 2" xfId="17011" xr:uid="{4B89B9CB-85CC-48A7-8D58-2300AB8BCAA2}"/>
    <cellStyle name="Normal 4 4 3 3 5 2 3" xfId="12793" xr:uid="{0D3F7CF8-EA66-48E4-8286-D6EAB1BF767B}"/>
    <cellStyle name="Normal 4 4 3 3 5 3" xfId="6416" xr:uid="{00000000-0005-0000-0000-00009D150000}"/>
    <cellStyle name="Normal 4 4 3 3 5 3 2" xfId="14866" xr:uid="{D7C9EA7B-E294-43DC-904D-03CA044C637D}"/>
    <cellStyle name="Normal 4 4 3 3 5 4" xfId="10648" xr:uid="{659CF144-5554-449C-984F-57995B4E263B}"/>
    <cellStyle name="Normal 4 4 3 3 6" xfId="2546" xr:uid="{00000000-0005-0000-0000-00009E150000}"/>
    <cellStyle name="Normal 4 4 3 3 6 2" xfId="6829" xr:uid="{00000000-0005-0000-0000-00009F150000}"/>
    <cellStyle name="Normal 4 4 3 3 6 2 2" xfId="15279" xr:uid="{07D2001A-F0EB-4471-B3EB-A0153B5EF0B9}"/>
    <cellStyle name="Normal 4 4 3 3 6 3" xfId="11061" xr:uid="{2D2C0D6E-B4B5-446F-9C24-EF3774CC4841}"/>
    <cellStyle name="Normal 4 4 3 3 7" xfId="4764" xr:uid="{00000000-0005-0000-0000-0000A0150000}"/>
    <cellStyle name="Normal 4 4 3 3 7 2" xfId="13214" xr:uid="{421537CD-8270-4FFD-A65D-23C88A853FEF}"/>
    <cellStyle name="Normal 4 4 3 3 8" xfId="8996" xr:uid="{0D673718-E5B7-4DD6-8389-07DDE7414216}"/>
    <cellStyle name="Normal 4 4 3 4" xfId="862" xr:uid="{00000000-0005-0000-0000-0000A1150000}"/>
    <cellStyle name="Normal 4 4 3 4 2" xfId="3097" xr:uid="{00000000-0005-0000-0000-0000A2150000}"/>
    <cellStyle name="Normal 4 4 3 4 2 2" xfId="7319" xr:uid="{00000000-0005-0000-0000-0000A3150000}"/>
    <cellStyle name="Normal 4 4 3 4 2 2 2" xfId="15769" xr:uid="{54F44F43-7969-4BF9-BFBC-1D0370C53CF0}"/>
    <cellStyle name="Normal 4 4 3 4 2 3" xfId="11551" xr:uid="{8F067A80-2891-4357-8829-8F12A32FDC9B}"/>
    <cellStyle name="Normal 4 4 3 4 3" xfId="5174" xr:uid="{00000000-0005-0000-0000-0000A4150000}"/>
    <cellStyle name="Normal 4 4 3 4 3 2" xfId="13624" xr:uid="{98F92C52-C2C9-47E1-A4DE-C9EA74C737C6}"/>
    <cellStyle name="Normal 4 4 3 4 4" xfId="9406" xr:uid="{C35CAD64-C770-4F37-BBF5-9BC5B2D9D25A}"/>
    <cellStyle name="Normal 4 4 3 5" xfId="1280" xr:uid="{00000000-0005-0000-0000-0000A5150000}"/>
    <cellStyle name="Normal 4 4 3 5 2" xfId="3510" xr:uid="{00000000-0005-0000-0000-0000A6150000}"/>
    <cellStyle name="Normal 4 4 3 5 2 2" xfId="7732" xr:uid="{00000000-0005-0000-0000-0000A7150000}"/>
    <cellStyle name="Normal 4 4 3 5 2 2 2" xfId="16182" xr:uid="{4F2C47DA-EF09-4B67-A858-504E81BF9D7D}"/>
    <cellStyle name="Normal 4 4 3 5 2 3" xfId="11964" xr:uid="{A7FAC690-BC89-4D36-AAC9-549FBB9767BC}"/>
    <cellStyle name="Normal 4 4 3 5 3" xfId="5587" xr:uid="{00000000-0005-0000-0000-0000A8150000}"/>
    <cellStyle name="Normal 4 4 3 5 3 2" xfId="14037" xr:uid="{098C3B56-711E-4EFF-951E-73D31A563737}"/>
    <cellStyle name="Normal 4 4 3 5 4" xfId="9819" xr:uid="{58666AEC-CE6D-4776-B33B-232462D02043}"/>
    <cellStyle name="Normal 4 4 3 6" xfId="1693" xr:uid="{00000000-0005-0000-0000-0000A9150000}"/>
    <cellStyle name="Normal 4 4 3 6 2" xfId="3923" xr:uid="{00000000-0005-0000-0000-0000AA150000}"/>
    <cellStyle name="Normal 4 4 3 6 2 2" xfId="8145" xr:uid="{00000000-0005-0000-0000-0000AB150000}"/>
    <cellStyle name="Normal 4 4 3 6 2 2 2" xfId="16595" xr:uid="{44CC59ED-BA6C-4C55-B512-A666E3A6A496}"/>
    <cellStyle name="Normal 4 4 3 6 2 3" xfId="12377" xr:uid="{9F0179BE-4340-4E19-9CA5-C03FCF4E79F9}"/>
    <cellStyle name="Normal 4 4 3 6 3" xfId="6000" xr:uid="{00000000-0005-0000-0000-0000AC150000}"/>
    <cellStyle name="Normal 4 4 3 6 3 2" xfId="14450" xr:uid="{57CC6454-4FD4-4D7D-8084-9DB7FD9D2FA4}"/>
    <cellStyle name="Normal 4 4 3 6 4" xfId="10232" xr:uid="{28609426-B115-485B-9E11-24AC0CC1587F}"/>
    <cellStyle name="Normal 4 4 3 7" xfId="2107" xr:uid="{00000000-0005-0000-0000-0000AD150000}"/>
    <cellStyle name="Normal 4 4 3 7 2" xfId="4336" xr:uid="{00000000-0005-0000-0000-0000AE150000}"/>
    <cellStyle name="Normal 4 4 3 7 2 2" xfId="8558" xr:uid="{00000000-0005-0000-0000-0000AF150000}"/>
    <cellStyle name="Normal 4 4 3 7 2 2 2" xfId="17008" xr:uid="{59F1CAD6-E051-470F-BD5F-11479913240C}"/>
    <cellStyle name="Normal 4 4 3 7 2 3" xfId="12790" xr:uid="{D5AF1047-12DD-487D-A7AB-A754508099B2}"/>
    <cellStyle name="Normal 4 4 3 7 3" xfId="6413" xr:uid="{00000000-0005-0000-0000-0000B0150000}"/>
    <cellStyle name="Normal 4 4 3 7 3 2" xfId="14863" xr:uid="{87964CA9-5776-49AF-AC89-85DAB2C4A853}"/>
    <cellStyle name="Normal 4 4 3 7 4" xfId="10645" xr:uid="{2748D496-C622-4B26-9409-01186E109DC3}"/>
    <cellStyle name="Normal 4 4 3 8" xfId="2543" xr:uid="{00000000-0005-0000-0000-0000B1150000}"/>
    <cellStyle name="Normal 4 4 3 8 2" xfId="6826" xr:uid="{00000000-0005-0000-0000-0000B2150000}"/>
    <cellStyle name="Normal 4 4 3 8 2 2" xfId="15276" xr:uid="{4C9637B9-7C6F-4BBC-9017-E83D397B0FAA}"/>
    <cellStyle name="Normal 4 4 3 8 3" xfId="11058" xr:uid="{861440D8-3757-4F9B-8A3A-7FDA5BF25CBD}"/>
    <cellStyle name="Normal 4 4 3 9" xfId="4761" xr:uid="{00000000-0005-0000-0000-0000B3150000}"/>
    <cellStyle name="Normal 4 4 3 9 2" xfId="13211" xr:uid="{BBD28A7B-51D9-444D-869F-60EED9C19AD7}"/>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2 2 2" xfId="15774" xr:uid="{B77FF1A2-FA9E-406D-B8FA-66790F59650F}"/>
    <cellStyle name="Normal 4 4 4 2 2 2 3" xfId="11556" xr:uid="{E2DDD672-344C-4DDE-AE36-382E0C3CA4B6}"/>
    <cellStyle name="Normal 4 4 4 2 2 3" xfId="5179" xr:uid="{00000000-0005-0000-0000-0000B9150000}"/>
    <cellStyle name="Normal 4 4 4 2 2 3 2" xfId="13629" xr:uid="{E0BCF16B-E57A-4224-9673-F75DA6D7CC75}"/>
    <cellStyle name="Normal 4 4 4 2 2 4" xfId="9411" xr:uid="{7015813F-BDDB-4E2D-980F-437DE76D5BE4}"/>
    <cellStyle name="Normal 4 4 4 2 3" xfId="1285" xr:uid="{00000000-0005-0000-0000-0000BA150000}"/>
    <cellStyle name="Normal 4 4 4 2 3 2" xfId="3515" xr:uid="{00000000-0005-0000-0000-0000BB150000}"/>
    <cellStyle name="Normal 4 4 4 2 3 2 2" xfId="7737" xr:uid="{00000000-0005-0000-0000-0000BC150000}"/>
    <cellStyle name="Normal 4 4 4 2 3 2 2 2" xfId="16187" xr:uid="{D8B6C41E-5C43-4BCE-823F-37E6EB0E5B09}"/>
    <cellStyle name="Normal 4 4 4 2 3 2 3" xfId="11969" xr:uid="{0E6271E8-FD42-46A9-B659-F5EF08EC24CD}"/>
    <cellStyle name="Normal 4 4 4 2 3 3" xfId="5592" xr:uid="{00000000-0005-0000-0000-0000BD150000}"/>
    <cellStyle name="Normal 4 4 4 2 3 3 2" xfId="14042" xr:uid="{DCBEFCB1-7700-4ABD-9005-5A8A1980DBBD}"/>
    <cellStyle name="Normal 4 4 4 2 3 4" xfId="9824" xr:uid="{D9C218A4-4C8B-49E1-A5FA-9262578BBDDA}"/>
    <cellStyle name="Normal 4 4 4 2 4" xfId="1698" xr:uid="{00000000-0005-0000-0000-0000BE150000}"/>
    <cellStyle name="Normal 4 4 4 2 4 2" xfId="3928" xr:uid="{00000000-0005-0000-0000-0000BF150000}"/>
    <cellStyle name="Normal 4 4 4 2 4 2 2" xfId="8150" xr:uid="{00000000-0005-0000-0000-0000C0150000}"/>
    <cellStyle name="Normal 4 4 4 2 4 2 2 2" xfId="16600" xr:uid="{6B544A2D-563B-4DB8-B236-163B5D8BF4E3}"/>
    <cellStyle name="Normal 4 4 4 2 4 2 3" xfId="12382" xr:uid="{21A68C09-9D94-4776-BC96-C02FDE809307}"/>
    <cellStyle name="Normal 4 4 4 2 4 3" xfId="6005" xr:uid="{00000000-0005-0000-0000-0000C1150000}"/>
    <cellStyle name="Normal 4 4 4 2 4 3 2" xfId="14455" xr:uid="{9C10BD1C-C93C-47DE-8BAA-AEAB86AF809A}"/>
    <cellStyle name="Normal 4 4 4 2 4 4" xfId="10237" xr:uid="{9193F8C8-53FD-437D-9976-73230FE9EEF3}"/>
    <cellStyle name="Normal 4 4 4 2 5" xfId="2112" xr:uid="{00000000-0005-0000-0000-0000C2150000}"/>
    <cellStyle name="Normal 4 4 4 2 5 2" xfId="4341" xr:uid="{00000000-0005-0000-0000-0000C3150000}"/>
    <cellStyle name="Normal 4 4 4 2 5 2 2" xfId="8563" xr:uid="{00000000-0005-0000-0000-0000C4150000}"/>
    <cellStyle name="Normal 4 4 4 2 5 2 2 2" xfId="17013" xr:uid="{9DE653EA-4443-40DC-A16A-AB680150E6FB}"/>
    <cellStyle name="Normal 4 4 4 2 5 2 3" xfId="12795" xr:uid="{859A066E-14DE-497D-9E1D-CA32229D66A0}"/>
    <cellStyle name="Normal 4 4 4 2 5 3" xfId="6418" xr:uid="{00000000-0005-0000-0000-0000C5150000}"/>
    <cellStyle name="Normal 4 4 4 2 5 3 2" xfId="14868" xr:uid="{CCE99CE7-0D15-44FF-BCA9-E000C07DA7DF}"/>
    <cellStyle name="Normal 4 4 4 2 5 4" xfId="10650" xr:uid="{F1E3DB55-C286-494B-AFBB-60EE7FC318E7}"/>
    <cellStyle name="Normal 4 4 4 2 6" xfId="2548" xr:uid="{00000000-0005-0000-0000-0000C6150000}"/>
    <cellStyle name="Normal 4 4 4 2 6 2" xfId="6831" xr:uid="{00000000-0005-0000-0000-0000C7150000}"/>
    <cellStyle name="Normal 4 4 4 2 6 2 2" xfId="15281" xr:uid="{498FD361-97AE-404D-B475-A39A02081B0F}"/>
    <cellStyle name="Normal 4 4 4 2 6 3" xfId="11063" xr:uid="{88ECF47A-8003-47FB-9F05-3576876B0C15}"/>
    <cellStyle name="Normal 4 4 4 2 7" xfId="4766" xr:uid="{00000000-0005-0000-0000-0000C8150000}"/>
    <cellStyle name="Normal 4 4 4 2 7 2" xfId="13216" xr:uid="{054B1E97-730A-4F6F-B0BD-2522CB495D9A}"/>
    <cellStyle name="Normal 4 4 4 2 8" xfId="8998" xr:uid="{961D4929-C6A6-43BD-A5D6-9A7DEC9D6AF4}"/>
    <cellStyle name="Normal 4 4 4 3" xfId="866" xr:uid="{00000000-0005-0000-0000-0000C9150000}"/>
    <cellStyle name="Normal 4 4 4 3 2" xfId="3101" xr:uid="{00000000-0005-0000-0000-0000CA150000}"/>
    <cellStyle name="Normal 4 4 4 3 2 2" xfId="7323" xr:uid="{00000000-0005-0000-0000-0000CB150000}"/>
    <cellStyle name="Normal 4 4 4 3 2 2 2" xfId="15773" xr:uid="{BE6B7B8C-2A90-4150-9BF1-ED55A57F0264}"/>
    <cellStyle name="Normal 4 4 4 3 2 3" xfId="11555" xr:uid="{9F25473E-03BE-4858-A8D1-8736EC8EF88C}"/>
    <cellStyle name="Normal 4 4 4 3 3" xfId="5178" xr:uid="{00000000-0005-0000-0000-0000CC150000}"/>
    <cellStyle name="Normal 4 4 4 3 3 2" xfId="13628" xr:uid="{03E01399-3679-47BB-BF0A-9A1CB349E7C7}"/>
    <cellStyle name="Normal 4 4 4 3 4" xfId="9410" xr:uid="{CC79AEBC-ADE2-4898-AC74-44ED530838FE}"/>
    <cellStyle name="Normal 4 4 4 4" xfId="1284" xr:uid="{00000000-0005-0000-0000-0000CD150000}"/>
    <cellStyle name="Normal 4 4 4 4 2" xfId="3514" xr:uid="{00000000-0005-0000-0000-0000CE150000}"/>
    <cellStyle name="Normal 4 4 4 4 2 2" xfId="7736" xr:uid="{00000000-0005-0000-0000-0000CF150000}"/>
    <cellStyle name="Normal 4 4 4 4 2 2 2" xfId="16186" xr:uid="{A8F58685-4416-4528-AAD6-A294CCF981F7}"/>
    <cellStyle name="Normal 4 4 4 4 2 3" xfId="11968" xr:uid="{BB911001-2721-4EDD-824B-AFC6AF9603C8}"/>
    <cellStyle name="Normal 4 4 4 4 3" xfId="5591" xr:uid="{00000000-0005-0000-0000-0000D0150000}"/>
    <cellStyle name="Normal 4 4 4 4 3 2" xfId="14041" xr:uid="{AE7C97A5-A1CC-461E-88A5-1EF49924FAB8}"/>
    <cellStyle name="Normal 4 4 4 4 4" xfId="9823" xr:uid="{41DE792D-5285-487A-A091-14CA06D37FDE}"/>
    <cellStyle name="Normal 4 4 4 5" xfId="1697" xr:uid="{00000000-0005-0000-0000-0000D1150000}"/>
    <cellStyle name="Normal 4 4 4 5 2" xfId="3927" xr:uid="{00000000-0005-0000-0000-0000D2150000}"/>
    <cellStyle name="Normal 4 4 4 5 2 2" xfId="8149" xr:uid="{00000000-0005-0000-0000-0000D3150000}"/>
    <cellStyle name="Normal 4 4 4 5 2 2 2" xfId="16599" xr:uid="{FE85D142-3E0C-43E8-9763-6F75BD6C1D35}"/>
    <cellStyle name="Normal 4 4 4 5 2 3" xfId="12381" xr:uid="{36538CB5-EDF3-4DB5-ACF2-7FEE49559BDD}"/>
    <cellStyle name="Normal 4 4 4 5 3" xfId="6004" xr:uid="{00000000-0005-0000-0000-0000D4150000}"/>
    <cellStyle name="Normal 4 4 4 5 3 2" xfId="14454" xr:uid="{563C1412-F435-4531-BE99-2DFEFA811719}"/>
    <cellStyle name="Normal 4 4 4 5 4" xfId="10236" xr:uid="{6B2A1094-3BD5-44A3-8FE6-B9D5F068AA87}"/>
    <cellStyle name="Normal 4 4 4 6" xfId="2111" xr:uid="{00000000-0005-0000-0000-0000D5150000}"/>
    <cellStyle name="Normal 4 4 4 6 2" xfId="4340" xr:uid="{00000000-0005-0000-0000-0000D6150000}"/>
    <cellStyle name="Normal 4 4 4 6 2 2" xfId="8562" xr:uid="{00000000-0005-0000-0000-0000D7150000}"/>
    <cellStyle name="Normal 4 4 4 6 2 2 2" xfId="17012" xr:uid="{39B169FD-BA94-4887-9A91-EA5A6E77330D}"/>
    <cellStyle name="Normal 4 4 4 6 2 3" xfId="12794" xr:uid="{524498E5-522A-40AE-BAD5-B0805B4526F4}"/>
    <cellStyle name="Normal 4 4 4 6 3" xfId="6417" xr:uid="{00000000-0005-0000-0000-0000D8150000}"/>
    <cellStyle name="Normal 4 4 4 6 3 2" xfId="14867" xr:uid="{2FF89A61-367A-42E9-BDF3-47CAEC791748}"/>
    <cellStyle name="Normal 4 4 4 6 4" xfId="10649" xr:uid="{C0EB5C11-35D0-4F93-BD6F-F59920E13118}"/>
    <cellStyle name="Normal 4 4 4 7" xfId="2547" xr:uid="{00000000-0005-0000-0000-0000D9150000}"/>
    <cellStyle name="Normal 4 4 4 7 2" xfId="6830" xr:uid="{00000000-0005-0000-0000-0000DA150000}"/>
    <cellStyle name="Normal 4 4 4 7 2 2" xfId="15280" xr:uid="{4E42C82A-0518-4C4E-8D57-A89F469DDE76}"/>
    <cellStyle name="Normal 4 4 4 7 3" xfId="11062" xr:uid="{3F71AF43-0884-4C43-A6A8-86ECEF001443}"/>
    <cellStyle name="Normal 4 4 4 8" xfId="4765" xr:uid="{00000000-0005-0000-0000-0000DB150000}"/>
    <cellStyle name="Normal 4 4 4 8 2" xfId="13215" xr:uid="{EFB88E70-1670-4191-8C9A-4E53B0660EC5}"/>
    <cellStyle name="Normal 4 4 4 9" xfId="8997" xr:uid="{30216191-A9BE-4782-BFBE-566DF40D1EE1}"/>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2 2 2" xfId="15775" xr:uid="{4FBBD561-98D1-46C5-9A73-B239945ABB80}"/>
    <cellStyle name="Normal 4 4 5 2 2 3" xfId="11557" xr:uid="{2BF9E471-CFD1-45BA-B4B7-F294ABA9906A}"/>
    <cellStyle name="Normal 4 4 5 2 3" xfId="5180" xr:uid="{00000000-0005-0000-0000-0000E0150000}"/>
    <cellStyle name="Normal 4 4 5 2 3 2" xfId="13630" xr:uid="{021EC91E-0F8C-4534-BC62-6DD73AD83007}"/>
    <cellStyle name="Normal 4 4 5 2 4" xfId="9412" xr:uid="{4D5DDAD4-B4A1-4518-95FA-A3F1643505AE}"/>
    <cellStyle name="Normal 4 4 5 3" xfId="1286" xr:uid="{00000000-0005-0000-0000-0000E1150000}"/>
    <cellStyle name="Normal 4 4 5 3 2" xfId="3516" xr:uid="{00000000-0005-0000-0000-0000E2150000}"/>
    <cellStyle name="Normal 4 4 5 3 2 2" xfId="7738" xr:uid="{00000000-0005-0000-0000-0000E3150000}"/>
    <cellStyle name="Normal 4 4 5 3 2 2 2" xfId="16188" xr:uid="{E511BB7C-B020-4CE5-A92C-366112CD0180}"/>
    <cellStyle name="Normal 4 4 5 3 2 3" xfId="11970" xr:uid="{7EA7385A-D167-4D3A-8EBD-1300A02E7849}"/>
    <cellStyle name="Normal 4 4 5 3 3" xfId="5593" xr:uid="{00000000-0005-0000-0000-0000E4150000}"/>
    <cellStyle name="Normal 4 4 5 3 3 2" xfId="14043" xr:uid="{4BE58962-76F2-4358-8BF5-C26A8E51440D}"/>
    <cellStyle name="Normal 4 4 5 3 4" xfId="9825" xr:uid="{EFF2886D-D03A-4B4F-B39F-60D0D4D92628}"/>
    <cellStyle name="Normal 4 4 5 4" xfId="1699" xr:uid="{00000000-0005-0000-0000-0000E5150000}"/>
    <cellStyle name="Normal 4 4 5 4 2" xfId="3929" xr:uid="{00000000-0005-0000-0000-0000E6150000}"/>
    <cellStyle name="Normal 4 4 5 4 2 2" xfId="8151" xr:uid="{00000000-0005-0000-0000-0000E7150000}"/>
    <cellStyle name="Normal 4 4 5 4 2 2 2" xfId="16601" xr:uid="{D3B7C696-1721-4B36-AFE1-0AFCBE2CE90E}"/>
    <cellStyle name="Normal 4 4 5 4 2 3" xfId="12383" xr:uid="{937DE560-EE33-4119-A5AC-51F620BB7F3B}"/>
    <cellStyle name="Normal 4 4 5 4 3" xfId="6006" xr:uid="{00000000-0005-0000-0000-0000E8150000}"/>
    <cellStyle name="Normal 4 4 5 4 3 2" xfId="14456" xr:uid="{E8F3C0B9-7986-4555-9471-63D63A94E060}"/>
    <cellStyle name="Normal 4 4 5 4 4" xfId="10238" xr:uid="{B0A49B7D-F27E-4645-9C88-7DE2987A90B7}"/>
    <cellStyle name="Normal 4 4 5 5" xfId="2113" xr:uid="{00000000-0005-0000-0000-0000E9150000}"/>
    <cellStyle name="Normal 4 4 5 5 2" xfId="4342" xr:uid="{00000000-0005-0000-0000-0000EA150000}"/>
    <cellStyle name="Normal 4 4 5 5 2 2" xfId="8564" xr:uid="{00000000-0005-0000-0000-0000EB150000}"/>
    <cellStyle name="Normal 4 4 5 5 2 2 2" xfId="17014" xr:uid="{F294309C-0C67-4179-ACD4-186262992950}"/>
    <cellStyle name="Normal 4 4 5 5 2 3" xfId="12796" xr:uid="{06EB7F9E-9AD2-4C89-A812-746672C9352A}"/>
    <cellStyle name="Normal 4 4 5 5 3" xfId="6419" xr:uid="{00000000-0005-0000-0000-0000EC150000}"/>
    <cellStyle name="Normal 4 4 5 5 3 2" xfId="14869" xr:uid="{AB85D2E3-EAE8-4588-A3B4-7E077EF6378F}"/>
    <cellStyle name="Normal 4 4 5 5 4" xfId="10651" xr:uid="{93E6CF30-88C0-4B2B-AB07-7C434362E899}"/>
    <cellStyle name="Normal 4 4 5 6" xfId="2549" xr:uid="{00000000-0005-0000-0000-0000ED150000}"/>
    <cellStyle name="Normal 4 4 5 6 2" xfId="6832" xr:uid="{00000000-0005-0000-0000-0000EE150000}"/>
    <cellStyle name="Normal 4 4 5 6 2 2" xfId="15282" xr:uid="{54482B78-63EA-4E29-9372-B5EF05104F77}"/>
    <cellStyle name="Normal 4 4 5 6 3" xfId="11064" xr:uid="{8FAA5493-B86E-4EEF-8FFF-4B96B54EAA7C}"/>
    <cellStyle name="Normal 4 4 5 7" xfId="4767" xr:uid="{00000000-0005-0000-0000-0000EF150000}"/>
    <cellStyle name="Normal 4 4 5 7 2" xfId="13217" xr:uid="{07CBA0B7-A789-4DA9-B771-7886854B69C7}"/>
    <cellStyle name="Normal 4 4 5 8" xfId="8999" xr:uid="{DF688890-4592-469E-B300-2772CF7B995E}"/>
    <cellStyle name="Normal 4 4 6" xfId="853" xr:uid="{00000000-0005-0000-0000-0000F0150000}"/>
    <cellStyle name="Normal 4 4 6 2" xfId="3088" xr:uid="{00000000-0005-0000-0000-0000F1150000}"/>
    <cellStyle name="Normal 4 4 6 2 2" xfId="7310" xr:uid="{00000000-0005-0000-0000-0000F2150000}"/>
    <cellStyle name="Normal 4 4 6 2 2 2" xfId="15760" xr:uid="{FD6911B2-3335-407C-AD98-DE24E698B806}"/>
    <cellStyle name="Normal 4 4 6 2 3" xfId="11542" xr:uid="{1422AA48-13DF-4072-96E7-A37F94297D55}"/>
    <cellStyle name="Normal 4 4 6 3" xfId="5165" xr:uid="{00000000-0005-0000-0000-0000F3150000}"/>
    <cellStyle name="Normal 4 4 6 3 2" xfId="13615" xr:uid="{BF3E12C4-9DDF-4DE6-9853-52D79EEA2813}"/>
    <cellStyle name="Normal 4 4 6 4" xfId="9397" xr:uid="{7A1CB267-C709-4C94-8542-F8EC1169D688}"/>
    <cellStyle name="Normal 4 4 7" xfId="1271" xr:uid="{00000000-0005-0000-0000-0000F4150000}"/>
    <cellStyle name="Normal 4 4 7 2" xfId="3501" xr:uid="{00000000-0005-0000-0000-0000F5150000}"/>
    <cellStyle name="Normal 4 4 7 2 2" xfId="7723" xr:uid="{00000000-0005-0000-0000-0000F6150000}"/>
    <cellStyle name="Normal 4 4 7 2 2 2" xfId="16173" xr:uid="{909F9704-31CE-42A2-9BA6-6AE7046293C2}"/>
    <cellStyle name="Normal 4 4 7 2 3" xfId="11955" xr:uid="{3D03109F-F71D-447D-A7D3-AF88437C4276}"/>
    <cellStyle name="Normal 4 4 7 3" xfId="5578" xr:uid="{00000000-0005-0000-0000-0000F7150000}"/>
    <cellStyle name="Normal 4 4 7 3 2" xfId="14028" xr:uid="{0867CE07-5362-45A8-80F9-DDFF6F3150A6}"/>
    <cellStyle name="Normal 4 4 7 4" xfId="9810" xr:uid="{0F697BCA-13A9-411A-81CA-92CC0CB89770}"/>
    <cellStyle name="Normal 4 4 8" xfId="1684" xr:uid="{00000000-0005-0000-0000-0000F8150000}"/>
    <cellStyle name="Normal 4 4 8 2" xfId="3914" xr:uid="{00000000-0005-0000-0000-0000F9150000}"/>
    <cellStyle name="Normal 4 4 8 2 2" xfId="8136" xr:uid="{00000000-0005-0000-0000-0000FA150000}"/>
    <cellStyle name="Normal 4 4 8 2 2 2" xfId="16586" xr:uid="{756D0F03-DD27-4F23-8BD5-99364310596D}"/>
    <cellStyle name="Normal 4 4 8 2 3" xfId="12368" xr:uid="{8BDA111C-24C6-4438-9E3D-9879F609377C}"/>
    <cellStyle name="Normal 4 4 8 3" xfId="5991" xr:uid="{00000000-0005-0000-0000-0000FB150000}"/>
    <cellStyle name="Normal 4 4 8 3 2" xfId="14441" xr:uid="{C7389203-9890-40BF-9971-72BCF5668AD1}"/>
    <cellStyle name="Normal 4 4 8 4" xfId="10223" xr:uid="{74D2F51F-A037-496D-8556-357A965AF075}"/>
    <cellStyle name="Normal 4 4 9" xfId="2098" xr:uid="{00000000-0005-0000-0000-0000FC150000}"/>
    <cellStyle name="Normal 4 4 9 2" xfId="4327" xr:uid="{00000000-0005-0000-0000-0000FD150000}"/>
    <cellStyle name="Normal 4 4 9 2 2" xfId="8549" xr:uid="{00000000-0005-0000-0000-0000FE150000}"/>
    <cellStyle name="Normal 4 4 9 2 2 2" xfId="16999" xr:uid="{3C693648-E284-4AF6-8C57-137C34380095}"/>
    <cellStyle name="Normal 4 4 9 2 3" xfId="12781" xr:uid="{4D9455B7-89AB-483E-A756-ACA2D925416A}"/>
    <cellStyle name="Normal 4 4 9 3" xfId="6404" xr:uid="{00000000-0005-0000-0000-0000FF150000}"/>
    <cellStyle name="Normal 4 4 9 3 2" xfId="14854" xr:uid="{E1EF5F19-808B-4D9F-A4CE-16665BD00098}"/>
    <cellStyle name="Normal 4 4 9 4" xfId="10636" xr:uid="{CF4DD000-225D-42AF-9F0B-7FEC1D61BADF}"/>
    <cellStyle name="Normal 4 5" xfId="394" xr:uid="{00000000-0005-0000-0000-000000160000}"/>
    <cellStyle name="Normal 4 6" xfId="395" xr:uid="{00000000-0005-0000-0000-000001160000}"/>
    <cellStyle name="Normal 4 6 10" xfId="4768" xr:uid="{00000000-0005-0000-0000-000002160000}"/>
    <cellStyle name="Normal 4 6 10 2" xfId="13218" xr:uid="{6E600EFE-5EBF-40A9-9062-33703DFE627E}"/>
    <cellStyle name="Normal 4 6 11" xfId="9000" xr:uid="{221FF6D3-BAE9-4E70-9525-C9312748F881}"/>
    <cellStyle name="Normal 4 6 2" xfId="396" xr:uid="{00000000-0005-0000-0000-000003160000}"/>
    <cellStyle name="Normal 4 6 2 10" xfId="9001" xr:uid="{34E8EAFA-F6EF-4388-A1A1-05405B9B4BFE}"/>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2 2 2" xfId="15779" xr:uid="{EC6C6BF6-649B-4034-8414-3ABB5FC27067}"/>
    <cellStyle name="Normal 4 6 2 2 2 2 2 3" xfId="11561" xr:uid="{D0F8B295-68C2-4EA1-A161-8D441F842139}"/>
    <cellStyle name="Normal 4 6 2 2 2 2 3" xfId="5184" xr:uid="{00000000-0005-0000-0000-000009160000}"/>
    <cellStyle name="Normal 4 6 2 2 2 2 3 2" xfId="13634" xr:uid="{C7550983-8AEA-4BE9-A178-9AAD9E589876}"/>
    <cellStyle name="Normal 4 6 2 2 2 2 4" xfId="9416" xr:uid="{520296B8-C0D5-4BFF-9320-168DE3D77673}"/>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2 2 2" xfId="16192" xr:uid="{47DB99C7-2ECA-478A-AECA-0D5FF631ADCD}"/>
    <cellStyle name="Normal 4 6 2 2 2 3 2 3" xfId="11974" xr:uid="{465BC381-AAC4-4476-ABD4-3DF693497CA3}"/>
    <cellStyle name="Normal 4 6 2 2 2 3 3" xfId="5597" xr:uid="{00000000-0005-0000-0000-00000D160000}"/>
    <cellStyle name="Normal 4 6 2 2 2 3 3 2" xfId="14047" xr:uid="{3D2E7605-E094-408D-8892-98AA2666769D}"/>
    <cellStyle name="Normal 4 6 2 2 2 3 4" xfId="9829" xr:uid="{38C610FF-EFE1-4E2D-94DF-4BA377831B36}"/>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2 2 2" xfId="16605" xr:uid="{52D24EE7-65E0-479E-BA5A-0FFD11C0838B}"/>
    <cellStyle name="Normal 4 6 2 2 2 4 2 3" xfId="12387" xr:uid="{C4FFAB99-D85F-4249-82A3-B3DE87B4D6F2}"/>
    <cellStyle name="Normal 4 6 2 2 2 4 3" xfId="6010" xr:uid="{00000000-0005-0000-0000-000011160000}"/>
    <cellStyle name="Normal 4 6 2 2 2 4 3 2" xfId="14460" xr:uid="{62DAD6DC-DD90-445B-92C1-3E392CDD007A}"/>
    <cellStyle name="Normal 4 6 2 2 2 4 4" xfId="10242" xr:uid="{8E650253-11DC-44E7-9FB2-798B3E66C48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2 2 2" xfId="17018" xr:uid="{E3E62453-F4FC-4C67-9B2E-B31AF284B8F4}"/>
    <cellStyle name="Normal 4 6 2 2 2 5 2 3" xfId="12800" xr:uid="{CA85A05D-6AF8-4D59-A796-4060300FB7D2}"/>
    <cellStyle name="Normal 4 6 2 2 2 5 3" xfId="6423" xr:uid="{00000000-0005-0000-0000-000015160000}"/>
    <cellStyle name="Normal 4 6 2 2 2 5 3 2" xfId="14873" xr:uid="{9DBE75AE-BC06-4FBD-9C6C-86C7AFE58E04}"/>
    <cellStyle name="Normal 4 6 2 2 2 5 4" xfId="10655" xr:uid="{BF1CA403-ECAF-4AFA-8E9D-42147EB6ADC1}"/>
    <cellStyle name="Normal 4 6 2 2 2 6" xfId="2553" xr:uid="{00000000-0005-0000-0000-000016160000}"/>
    <cellStyle name="Normal 4 6 2 2 2 6 2" xfId="6836" xr:uid="{00000000-0005-0000-0000-000017160000}"/>
    <cellStyle name="Normal 4 6 2 2 2 6 2 2" xfId="15286" xr:uid="{9BF2E718-9B6B-4C57-849A-38876E8A2E21}"/>
    <cellStyle name="Normal 4 6 2 2 2 6 3" xfId="11068" xr:uid="{AA0BBD12-E19E-44B8-BB63-85E91B9C1611}"/>
    <cellStyle name="Normal 4 6 2 2 2 7" xfId="4771" xr:uid="{00000000-0005-0000-0000-000018160000}"/>
    <cellStyle name="Normal 4 6 2 2 2 7 2" xfId="13221" xr:uid="{6E89D57C-23DB-4463-B3AE-CAF575C42471}"/>
    <cellStyle name="Normal 4 6 2 2 2 8" xfId="9003" xr:uid="{CF3FD4E5-4DA6-4CC6-8DD6-2AA5920C34A3}"/>
    <cellStyle name="Normal 4 6 2 2 3" xfId="871" xr:uid="{00000000-0005-0000-0000-000019160000}"/>
    <cellStyle name="Normal 4 6 2 2 3 2" xfId="3106" xr:uid="{00000000-0005-0000-0000-00001A160000}"/>
    <cellStyle name="Normal 4 6 2 2 3 2 2" xfId="7328" xr:uid="{00000000-0005-0000-0000-00001B160000}"/>
    <cellStyle name="Normal 4 6 2 2 3 2 2 2" xfId="15778" xr:uid="{D9FA7194-972A-436D-BC15-CB45990A69B3}"/>
    <cellStyle name="Normal 4 6 2 2 3 2 3" xfId="11560" xr:uid="{8A5C90A7-65D3-4567-BE8B-66CE23ACEA00}"/>
    <cellStyle name="Normal 4 6 2 2 3 3" xfId="5183" xr:uid="{00000000-0005-0000-0000-00001C160000}"/>
    <cellStyle name="Normal 4 6 2 2 3 3 2" xfId="13633" xr:uid="{55A7133C-1807-463E-B6CD-8EC976E566AE}"/>
    <cellStyle name="Normal 4 6 2 2 3 4" xfId="9415" xr:uid="{881BA7B3-A904-47D8-97E7-2227BBB436EB}"/>
    <cellStyle name="Normal 4 6 2 2 4" xfId="1289" xr:uid="{00000000-0005-0000-0000-00001D160000}"/>
    <cellStyle name="Normal 4 6 2 2 4 2" xfId="3519" xr:uid="{00000000-0005-0000-0000-00001E160000}"/>
    <cellStyle name="Normal 4 6 2 2 4 2 2" xfId="7741" xr:uid="{00000000-0005-0000-0000-00001F160000}"/>
    <cellStyle name="Normal 4 6 2 2 4 2 2 2" xfId="16191" xr:uid="{1575CB71-AD79-4C9E-B7BF-5EC260C69E27}"/>
    <cellStyle name="Normal 4 6 2 2 4 2 3" xfId="11973" xr:uid="{6A693225-FFFD-4425-BA83-09F05F9747A0}"/>
    <cellStyle name="Normal 4 6 2 2 4 3" xfId="5596" xr:uid="{00000000-0005-0000-0000-000020160000}"/>
    <cellStyle name="Normal 4 6 2 2 4 3 2" xfId="14046" xr:uid="{8CADFCAC-B938-447F-AB67-010AA0BF5AD0}"/>
    <cellStyle name="Normal 4 6 2 2 4 4" xfId="9828" xr:uid="{86B43530-2E6B-4006-9951-6FE06B22D177}"/>
    <cellStyle name="Normal 4 6 2 2 5" xfId="1702" xr:uid="{00000000-0005-0000-0000-000021160000}"/>
    <cellStyle name="Normal 4 6 2 2 5 2" xfId="3932" xr:uid="{00000000-0005-0000-0000-000022160000}"/>
    <cellStyle name="Normal 4 6 2 2 5 2 2" xfId="8154" xr:uid="{00000000-0005-0000-0000-000023160000}"/>
    <cellStyle name="Normal 4 6 2 2 5 2 2 2" xfId="16604" xr:uid="{7F6D5C96-6C77-43F7-A278-10D9C58FFAF7}"/>
    <cellStyle name="Normal 4 6 2 2 5 2 3" xfId="12386" xr:uid="{5398B942-C614-4DD3-AE6F-58FCBC10DB19}"/>
    <cellStyle name="Normal 4 6 2 2 5 3" xfId="6009" xr:uid="{00000000-0005-0000-0000-000024160000}"/>
    <cellStyle name="Normal 4 6 2 2 5 3 2" xfId="14459" xr:uid="{3A3DAEBC-21BD-45BB-AEEC-222347DA9084}"/>
    <cellStyle name="Normal 4 6 2 2 5 4" xfId="10241" xr:uid="{45C512DD-7696-4901-8970-420D4235B2B1}"/>
    <cellStyle name="Normal 4 6 2 2 6" xfId="2116" xr:uid="{00000000-0005-0000-0000-000025160000}"/>
    <cellStyle name="Normal 4 6 2 2 6 2" xfId="4345" xr:uid="{00000000-0005-0000-0000-000026160000}"/>
    <cellStyle name="Normal 4 6 2 2 6 2 2" xfId="8567" xr:uid="{00000000-0005-0000-0000-000027160000}"/>
    <cellStyle name="Normal 4 6 2 2 6 2 2 2" xfId="17017" xr:uid="{A3BB80A1-D706-4D4B-9840-D24E779F28A8}"/>
    <cellStyle name="Normal 4 6 2 2 6 2 3" xfId="12799" xr:uid="{A2D3DBCA-1A1A-49DE-AA2F-F68F26B049AA}"/>
    <cellStyle name="Normal 4 6 2 2 6 3" xfId="6422" xr:uid="{00000000-0005-0000-0000-000028160000}"/>
    <cellStyle name="Normal 4 6 2 2 6 3 2" xfId="14872" xr:uid="{1C4C8E69-F7D8-4DB5-B596-D6FC644D88A1}"/>
    <cellStyle name="Normal 4 6 2 2 6 4" xfId="10654" xr:uid="{7190E47D-806C-45E1-AFE2-972A0892C5A2}"/>
    <cellStyle name="Normal 4 6 2 2 7" xfId="2552" xr:uid="{00000000-0005-0000-0000-000029160000}"/>
    <cellStyle name="Normal 4 6 2 2 7 2" xfId="6835" xr:uid="{00000000-0005-0000-0000-00002A160000}"/>
    <cellStyle name="Normal 4 6 2 2 7 2 2" xfId="15285" xr:uid="{3CC088F3-58F7-4D43-A126-4C9775F8AF75}"/>
    <cellStyle name="Normal 4 6 2 2 7 3" xfId="11067" xr:uid="{20CC20EC-619E-49F7-9998-792A0D3CF062}"/>
    <cellStyle name="Normal 4 6 2 2 8" xfId="4770" xr:uid="{00000000-0005-0000-0000-00002B160000}"/>
    <cellStyle name="Normal 4 6 2 2 8 2" xfId="13220" xr:uid="{7280C918-1CE1-476F-825A-A041F0EFAC96}"/>
    <cellStyle name="Normal 4 6 2 2 9" xfId="9002" xr:uid="{1D6BF6F3-35D7-4233-9584-07215C9DDC54}"/>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2 2 2" xfId="15780" xr:uid="{FB7345FE-8F71-4E61-9C0A-E8D52BF9ACFC}"/>
    <cellStyle name="Normal 4 6 2 3 2 2 3" xfId="11562" xr:uid="{9FDE4C0D-522D-4332-8A3F-6903F1FC3DF7}"/>
    <cellStyle name="Normal 4 6 2 3 2 3" xfId="5185" xr:uid="{00000000-0005-0000-0000-000030160000}"/>
    <cellStyle name="Normal 4 6 2 3 2 3 2" xfId="13635" xr:uid="{58C1186D-1DF6-42EA-ADCB-D7E2B1A20946}"/>
    <cellStyle name="Normal 4 6 2 3 2 4" xfId="9417" xr:uid="{2D6508A2-6240-486F-98B8-F4559417126C}"/>
    <cellStyle name="Normal 4 6 2 3 3" xfId="1291" xr:uid="{00000000-0005-0000-0000-000031160000}"/>
    <cellStyle name="Normal 4 6 2 3 3 2" xfId="3521" xr:uid="{00000000-0005-0000-0000-000032160000}"/>
    <cellStyle name="Normal 4 6 2 3 3 2 2" xfId="7743" xr:uid="{00000000-0005-0000-0000-000033160000}"/>
    <cellStyle name="Normal 4 6 2 3 3 2 2 2" xfId="16193" xr:uid="{44FD20AE-6646-436C-8558-3E5FA7094AFF}"/>
    <cellStyle name="Normal 4 6 2 3 3 2 3" xfId="11975" xr:uid="{C76DA3A3-F49D-43A1-8EAC-8EB4C7FCA995}"/>
    <cellStyle name="Normal 4 6 2 3 3 3" xfId="5598" xr:uid="{00000000-0005-0000-0000-000034160000}"/>
    <cellStyle name="Normal 4 6 2 3 3 3 2" xfId="14048" xr:uid="{A624F342-D2A2-4BD9-9ECA-C031506AFC76}"/>
    <cellStyle name="Normal 4 6 2 3 3 4" xfId="9830" xr:uid="{C41660C0-8CFA-4CDE-B402-239C5CDE1549}"/>
    <cellStyle name="Normal 4 6 2 3 4" xfId="1704" xr:uid="{00000000-0005-0000-0000-000035160000}"/>
    <cellStyle name="Normal 4 6 2 3 4 2" xfId="3934" xr:uid="{00000000-0005-0000-0000-000036160000}"/>
    <cellStyle name="Normal 4 6 2 3 4 2 2" xfId="8156" xr:uid="{00000000-0005-0000-0000-000037160000}"/>
    <cellStyle name="Normal 4 6 2 3 4 2 2 2" xfId="16606" xr:uid="{2A340E66-C4DD-49DA-A63B-169C7692C217}"/>
    <cellStyle name="Normal 4 6 2 3 4 2 3" xfId="12388" xr:uid="{8372291E-51D0-415C-855C-70F013E3CE36}"/>
    <cellStyle name="Normal 4 6 2 3 4 3" xfId="6011" xr:uid="{00000000-0005-0000-0000-000038160000}"/>
    <cellStyle name="Normal 4 6 2 3 4 3 2" xfId="14461" xr:uid="{7CD62D9B-392D-494B-9FF9-119430E9488A}"/>
    <cellStyle name="Normal 4 6 2 3 4 4" xfId="10243" xr:uid="{A441F484-49D0-411C-803F-605FEB95EAFE}"/>
    <cellStyle name="Normal 4 6 2 3 5" xfId="2118" xr:uid="{00000000-0005-0000-0000-000039160000}"/>
    <cellStyle name="Normal 4 6 2 3 5 2" xfId="4347" xr:uid="{00000000-0005-0000-0000-00003A160000}"/>
    <cellStyle name="Normal 4 6 2 3 5 2 2" xfId="8569" xr:uid="{00000000-0005-0000-0000-00003B160000}"/>
    <cellStyle name="Normal 4 6 2 3 5 2 2 2" xfId="17019" xr:uid="{D19D3290-4B80-4312-9C5D-AA8FF86C6F73}"/>
    <cellStyle name="Normal 4 6 2 3 5 2 3" xfId="12801" xr:uid="{492890C4-A5DB-48FD-A37B-8FD6C2430415}"/>
    <cellStyle name="Normal 4 6 2 3 5 3" xfId="6424" xr:uid="{00000000-0005-0000-0000-00003C160000}"/>
    <cellStyle name="Normal 4 6 2 3 5 3 2" xfId="14874" xr:uid="{905AB077-A02C-4451-B8E4-DC1B692EB071}"/>
    <cellStyle name="Normal 4 6 2 3 5 4" xfId="10656" xr:uid="{EC50564E-F3E6-43E8-B072-D502ED5652FB}"/>
    <cellStyle name="Normal 4 6 2 3 6" xfId="2554" xr:uid="{00000000-0005-0000-0000-00003D160000}"/>
    <cellStyle name="Normal 4 6 2 3 6 2" xfId="6837" xr:uid="{00000000-0005-0000-0000-00003E160000}"/>
    <cellStyle name="Normal 4 6 2 3 6 2 2" xfId="15287" xr:uid="{6DB5DBEE-8CBE-4E4F-8410-072A2AA17D0C}"/>
    <cellStyle name="Normal 4 6 2 3 6 3" xfId="11069" xr:uid="{9A257801-1C19-42DF-A2EB-60E07379F065}"/>
    <cellStyle name="Normal 4 6 2 3 7" xfId="4772" xr:uid="{00000000-0005-0000-0000-00003F160000}"/>
    <cellStyle name="Normal 4 6 2 3 7 2" xfId="13222" xr:uid="{6E240010-C7AD-4E85-AB6F-F3756C34B51D}"/>
    <cellStyle name="Normal 4 6 2 3 8" xfId="9004" xr:uid="{3487335D-E5D9-481B-A683-97765E3D9247}"/>
    <cellStyle name="Normal 4 6 2 4" xfId="870" xr:uid="{00000000-0005-0000-0000-000040160000}"/>
    <cellStyle name="Normal 4 6 2 4 2" xfId="3105" xr:uid="{00000000-0005-0000-0000-000041160000}"/>
    <cellStyle name="Normal 4 6 2 4 2 2" xfId="7327" xr:uid="{00000000-0005-0000-0000-000042160000}"/>
    <cellStyle name="Normal 4 6 2 4 2 2 2" xfId="15777" xr:uid="{605F8A6F-A938-46BF-8EB0-EF37E47DB48E}"/>
    <cellStyle name="Normal 4 6 2 4 2 3" xfId="11559" xr:uid="{341800E3-8BA1-4D3E-BDFF-C2833A11B4DC}"/>
    <cellStyle name="Normal 4 6 2 4 3" xfId="5182" xr:uid="{00000000-0005-0000-0000-000043160000}"/>
    <cellStyle name="Normal 4 6 2 4 3 2" xfId="13632" xr:uid="{48B272E9-7A34-4A1A-A58C-892E2CC34C32}"/>
    <cellStyle name="Normal 4 6 2 4 4" xfId="9414" xr:uid="{30DC20C0-BE48-4B5E-A55E-EA1C68957152}"/>
    <cellStyle name="Normal 4 6 2 5" xfId="1288" xr:uid="{00000000-0005-0000-0000-000044160000}"/>
    <cellStyle name="Normal 4 6 2 5 2" xfId="3518" xr:uid="{00000000-0005-0000-0000-000045160000}"/>
    <cellStyle name="Normal 4 6 2 5 2 2" xfId="7740" xr:uid="{00000000-0005-0000-0000-000046160000}"/>
    <cellStyle name="Normal 4 6 2 5 2 2 2" xfId="16190" xr:uid="{3C62B9B5-4346-42A5-A557-01DD569B606C}"/>
    <cellStyle name="Normal 4 6 2 5 2 3" xfId="11972" xr:uid="{9D4391C7-36EB-487B-AB29-419B9196D2B9}"/>
    <cellStyle name="Normal 4 6 2 5 3" xfId="5595" xr:uid="{00000000-0005-0000-0000-000047160000}"/>
    <cellStyle name="Normal 4 6 2 5 3 2" xfId="14045" xr:uid="{CCB56537-54EE-4C00-B082-D146E3D211C5}"/>
    <cellStyle name="Normal 4 6 2 5 4" xfId="9827" xr:uid="{9827B43E-8380-4916-9025-975278C341E2}"/>
    <cellStyle name="Normal 4 6 2 6" xfId="1701" xr:uid="{00000000-0005-0000-0000-000048160000}"/>
    <cellStyle name="Normal 4 6 2 6 2" xfId="3931" xr:uid="{00000000-0005-0000-0000-000049160000}"/>
    <cellStyle name="Normal 4 6 2 6 2 2" xfId="8153" xr:uid="{00000000-0005-0000-0000-00004A160000}"/>
    <cellStyle name="Normal 4 6 2 6 2 2 2" xfId="16603" xr:uid="{A644B656-E960-4A8C-9B99-82F5CE7BF537}"/>
    <cellStyle name="Normal 4 6 2 6 2 3" xfId="12385" xr:uid="{67967C25-80E0-4AAA-AAA1-863B72515F62}"/>
    <cellStyle name="Normal 4 6 2 6 3" xfId="6008" xr:uid="{00000000-0005-0000-0000-00004B160000}"/>
    <cellStyle name="Normal 4 6 2 6 3 2" xfId="14458" xr:uid="{3FCCC441-3FA5-4052-8B2C-E7B033E4071A}"/>
    <cellStyle name="Normal 4 6 2 6 4" xfId="10240" xr:uid="{C2FBAFB4-2FD2-4152-8F54-F94C69853C56}"/>
    <cellStyle name="Normal 4 6 2 7" xfId="2115" xr:uid="{00000000-0005-0000-0000-00004C160000}"/>
    <cellStyle name="Normal 4 6 2 7 2" xfId="4344" xr:uid="{00000000-0005-0000-0000-00004D160000}"/>
    <cellStyle name="Normal 4 6 2 7 2 2" xfId="8566" xr:uid="{00000000-0005-0000-0000-00004E160000}"/>
    <cellStyle name="Normal 4 6 2 7 2 2 2" xfId="17016" xr:uid="{A988E97F-2A51-45FD-B8B6-2C0C0C507AB9}"/>
    <cellStyle name="Normal 4 6 2 7 2 3" xfId="12798" xr:uid="{4970CC5A-7469-437D-8DDE-B36EDAB8532C}"/>
    <cellStyle name="Normal 4 6 2 7 3" xfId="6421" xr:uid="{00000000-0005-0000-0000-00004F160000}"/>
    <cellStyle name="Normal 4 6 2 7 3 2" xfId="14871" xr:uid="{9686623A-7D90-4A22-A783-3EFAEB87C87A}"/>
    <cellStyle name="Normal 4 6 2 7 4" xfId="10653" xr:uid="{F6F9090F-54A4-4646-ACC4-4194210306E9}"/>
    <cellStyle name="Normal 4 6 2 8" xfId="2551" xr:uid="{00000000-0005-0000-0000-000050160000}"/>
    <cellStyle name="Normal 4 6 2 8 2" xfId="6834" xr:uid="{00000000-0005-0000-0000-000051160000}"/>
    <cellStyle name="Normal 4 6 2 8 2 2" xfId="15284" xr:uid="{5F6177C3-7146-473E-BEA9-CBF4C40F5CE2}"/>
    <cellStyle name="Normal 4 6 2 8 3" xfId="11066" xr:uid="{86AB3424-CEF8-433B-BA06-F28D70906632}"/>
    <cellStyle name="Normal 4 6 2 9" xfId="4769" xr:uid="{00000000-0005-0000-0000-000052160000}"/>
    <cellStyle name="Normal 4 6 2 9 2" xfId="13219" xr:uid="{2A82C628-BA77-4223-83CB-89BC6FEC836A}"/>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2 2 2" xfId="15782" xr:uid="{16589E71-97CB-4937-8F67-82683A82CA86}"/>
    <cellStyle name="Normal 4 6 3 2 2 2 3" xfId="11564" xr:uid="{1EA925EE-F382-4979-BE86-55387EE8202B}"/>
    <cellStyle name="Normal 4 6 3 2 2 3" xfId="5187" xr:uid="{00000000-0005-0000-0000-000058160000}"/>
    <cellStyle name="Normal 4 6 3 2 2 3 2" xfId="13637" xr:uid="{E54ACC8C-676C-4BEB-99CE-231CA60DC084}"/>
    <cellStyle name="Normal 4 6 3 2 2 4" xfId="9419" xr:uid="{9CA96638-94B3-4BC8-8887-F84995E8684B}"/>
    <cellStyle name="Normal 4 6 3 2 3" xfId="1293" xr:uid="{00000000-0005-0000-0000-000059160000}"/>
    <cellStyle name="Normal 4 6 3 2 3 2" xfId="3523" xr:uid="{00000000-0005-0000-0000-00005A160000}"/>
    <cellStyle name="Normal 4 6 3 2 3 2 2" xfId="7745" xr:uid="{00000000-0005-0000-0000-00005B160000}"/>
    <cellStyle name="Normal 4 6 3 2 3 2 2 2" xfId="16195" xr:uid="{EC672F33-33F3-4B29-8604-E5F39EFFFB9D}"/>
    <cellStyle name="Normal 4 6 3 2 3 2 3" xfId="11977" xr:uid="{3867D6EE-E9E1-40C3-9C71-27547065EE5D}"/>
    <cellStyle name="Normal 4 6 3 2 3 3" xfId="5600" xr:uid="{00000000-0005-0000-0000-00005C160000}"/>
    <cellStyle name="Normal 4 6 3 2 3 3 2" xfId="14050" xr:uid="{6717E6DB-DBBE-4D0C-8D4D-D23ABC580479}"/>
    <cellStyle name="Normal 4 6 3 2 3 4" xfId="9832" xr:uid="{54096A71-9911-4C5D-B20B-BFBA00B78A2E}"/>
    <cellStyle name="Normal 4 6 3 2 4" xfId="1706" xr:uid="{00000000-0005-0000-0000-00005D160000}"/>
    <cellStyle name="Normal 4 6 3 2 4 2" xfId="3936" xr:uid="{00000000-0005-0000-0000-00005E160000}"/>
    <cellStyle name="Normal 4 6 3 2 4 2 2" xfId="8158" xr:uid="{00000000-0005-0000-0000-00005F160000}"/>
    <cellStyle name="Normal 4 6 3 2 4 2 2 2" xfId="16608" xr:uid="{6026E73D-3E9F-494C-9DF9-847EA2604DEB}"/>
    <cellStyle name="Normal 4 6 3 2 4 2 3" xfId="12390" xr:uid="{479E88E9-3DB4-4A36-8DFC-FB21C4CB1EED}"/>
    <cellStyle name="Normal 4 6 3 2 4 3" xfId="6013" xr:uid="{00000000-0005-0000-0000-000060160000}"/>
    <cellStyle name="Normal 4 6 3 2 4 3 2" xfId="14463" xr:uid="{BC92C043-EA9F-4CF4-B2E9-19B60C988609}"/>
    <cellStyle name="Normal 4 6 3 2 4 4" xfId="10245" xr:uid="{893A9CEA-2193-40E1-9044-770654E8EA0E}"/>
    <cellStyle name="Normal 4 6 3 2 5" xfId="2120" xr:uid="{00000000-0005-0000-0000-000061160000}"/>
    <cellStyle name="Normal 4 6 3 2 5 2" xfId="4349" xr:uid="{00000000-0005-0000-0000-000062160000}"/>
    <cellStyle name="Normal 4 6 3 2 5 2 2" xfId="8571" xr:uid="{00000000-0005-0000-0000-000063160000}"/>
    <cellStyle name="Normal 4 6 3 2 5 2 2 2" xfId="17021" xr:uid="{B41E1FBD-4DC1-47F0-93B4-AA0FE992F7B5}"/>
    <cellStyle name="Normal 4 6 3 2 5 2 3" xfId="12803" xr:uid="{633756C7-939C-4792-B79B-F3D41ADB6A90}"/>
    <cellStyle name="Normal 4 6 3 2 5 3" xfId="6426" xr:uid="{00000000-0005-0000-0000-000064160000}"/>
    <cellStyle name="Normal 4 6 3 2 5 3 2" xfId="14876" xr:uid="{9C3EFC11-F5D7-4603-A723-97156CB8F425}"/>
    <cellStyle name="Normal 4 6 3 2 5 4" xfId="10658" xr:uid="{0EC42C94-0828-4C93-9E21-23E325F22038}"/>
    <cellStyle name="Normal 4 6 3 2 6" xfId="2556" xr:uid="{00000000-0005-0000-0000-000065160000}"/>
    <cellStyle name="Normal 4 6 3 2 6 2" xfId="6839" xr:uid="{00000000-0005-0000-0000-000066160000}"/>
    <cellStyle name="Normal 4 6 3 2 6 2 2" xfId="15289" xr:uid="{FF6E64F2-9D6F-417B-BD73-98E8B055A893}"/>
    <cellStyle name="Normal 4 6 3 2 6 3" xfId="11071" xr:uid="{159A569C-0A4C-45A6-A2B9-C0A6EEEF2EBB}"/>
    <cellStyle name="Normal 4 6 3 2 7" xfId="4774" xr:uid="{00000000-0005-0000-0000-000067160000}"/>
    <cellStyle name="Normal 4 6 3 2 7 2" xfId="13224" xr:uid="{A97A441F-90AA-41CA-8A86-F19329F8BED7}"/>
    <cellStyle name="Normal 4 6 3 2 8" xfId="9006" xr:uid="{A179B748-3DDE-47D7-8D1B-58CE2A2AA72A}"/>
    <cellStyle name="Normal 4 6 3 3" xfId="874" xr:uid="{00000000-0005-0000-0000-000068160000}"/>
    <cellStyle name="Normal 4 6 3 3 2" xfId="3109" xr:uid="{00000000-0005-0000-0000-000069160000}"/>
    <cellStyle name="Normal 4 6 3 3 2 2" xfId="7331" xr:uid="{00000000-0005-0000-0000-00006A160000}"/>
    <cellStyle name="Normal 4 6 3 3 2 2 2" xfId="15781" xr:uid="{BCE9F2B6-DC25-4A55-A647-D147CF4D0E27}"/>
    <cellStyle name="Normal 4 6 3 3 2 3" xfId="11563" xr:uid="{46B1ACE2-2FF8-4191-8718-A4576ECDD082}"/>
    <cellStyle name="Normal 4 6 3 3 3" xfId="5186" xr:uid="{00000000-0005-0000-0000-00006B160000}"/>
    <cellStyle name="Normal 4 6 3 3 3 2" xfId="13636" xr:uid="{2566F934-AA79-4B6F-9C4B-CCC0EC6FD533}"/>
    <cellStyle name="Normal 4 6 3 3 4" xfId="9418" xr:uid="{E7BD33A6-11E1-47BF-987B-084714411659}"/>
    <cellStyle name="Normal 4 6 3 4" xfId="1292" xr:uid="{00000000-0005-0000-0000-00006C160000}"/>
    <cellStyle name="Normal 4 6 3 4 2" xfId="3522" xr:uid="{00000000-0005-0000-0000-00006D160000}"/>
    <cellStyle name="Normal 4 6 3 4 2 2" xfId="7744" xr:uid="{00000000-0005-0000-0000-00006E160000}"/>
    <cellStyle name="Normal 4 6 3 4 2 2 2" xfId="16194" xr:uid="{42673DD6-B8F3-4C1E-AF26-1A882D6D6AA2}"/>
    <cellStyle name="Normal 4 6 3 4 2 3" xfId="11976" xr:uid="{2806082D-6384-485A-A8D4-E86F6747D7FE}"/>
    <cellStyle name="Normal 4 6 3 4 3" xfId="5599" xr:uid="{00000000-0005-0000-0000-00006F160000}"/>
    <cellStyle name="Normal 4 6 3 4 3 2" xfId="14049" xr:uid="{19D2F420-EF81-4559-B9A0-DF8260DBE341}"/>
    <cellStyle name="Normal 4 6 3 4 4" xfId="9831" xr:uid="{259F8A3C-A855-4A0F-85C2-27F12A79319C}"/>
    <cellStyle name="Normal 4 6 3 5" xfId="1705" xr:uid="{00000000-0005-0000-0000-000070160000}"/>
    <cellStyle name="Normal 4 6 3 5 2" xfId="3935" xr:uid="{00000000-0005-0000-0000-000071160000}"/>
    <cellStyle name="Normal 4 6 3 5 2 2" xfId="8157" xr:uid="{00000000-0005-0000-0000-000072160000}"/>
    <cellStyle name="Normal 4 6 3 5 2 2 2" xfId="16607" xr:uid="{1E42196F-0589-4079-B89A-3B395364028D}"/>
    <cellStyle name="Normal 4 6 3 5 2 3" xfId="12389" xr:uid="{52851D13-156C-4F17-BC28-CF7B55F426B9}"/>
    <cellStyle name="Normal 4 6 3 5 3" xfId="6012" xr:uid="{00000000-0005-0000-0000-000073160000}"/>
    <cellStyle name="Normal 4 6 3 5 3 2" xfId="14462" xr:uid="{A25F61C9-C5FE-4371-9129-8AAABA580836}"/>
    <cellStyle name="Normal 4 6 3 5 4" xfId="10244" xr:uid="{C64B5A86-3D39-4976-8529-603ADF778287}"/>
    <cellStyle name="Normal 4 6 3 6" xfId="2119" xr:uid="{00000000-0005-0000-0000-000074160000}"/>
    <cellStyle name="Normal 4 6 3 6 2" xfId="4348" xr:uid="{00000000-0005-0000-0000-000075160000}"/>
    <cellStyle name="Normal 4 6 3 6 2 2" xfId="8570" xr:uid="{00000000-0005-0000-0000-000076160000}"/>
    <cellStyle name="Normal 4 6 3 6 2 2 2" xfId="17020" xr:uid="{AEBD66B6-EFE2-4028-9B86-EF9A09AACA17}"/>
    <cellStyle name="Normal 4 6 3 6 2 3" xfId="12802" xr:uid="{2CB21B9D-7490-43A9-AD61-6334AD7B9EC6}"/>
    <cellStyle name="Normal 4 6 3 6 3" xfId="6425" xr:uid="{00000000-0005-0000-0000-000077160000}"/>
    <cellStyle name="Normal 4 6 3 6 3 2" xfId="14875" xr:uid="{1346285D-3482-4D5A-832C-17AFF049D84B}"/>
    <cellStyle name="Normal 4 6 3 6 4" xfId="10657" xr:uid="{96B72E91-9DD6-4820-AC51-7B44067ADA0A}"/>
    <cellStyle name="Normal 4 6 3 7" xfId="2555" xr:uid="{00000000-0005-0000-0000-000078160000}"/>
    <cellStyle name="Normal 4 6 3 7 2" xfId="6838" xr:uid="{00000000-0005-0000-0000-000079160000}"/>
    <cellStyle name="Normal 4 6 3 7 2 2" xfId="15288" xr:uid="{5E49D506-5842-4938-99AC-8A71BC28F1F1}"/>
    <cellStyle name="Normal 4 6 3 7 3" xfId="11070" xr:uid="{47FB0848-64F9-46F9-8F2B-5DA6165584C1}"/>
    <cellStyle name="Normal 4 6 3 8" xfId="4773" xr:uid="{00000000-0005-0000-0000-00007A160000}"/>
    <cellStyle name="Normal 4 6 3 8 2" xfId="13223" xr:uid="{D12D3A43-3F18-40D0-8823-CA47D714AA86}"/>
    <cellStyle name="Normal 4 6 3 9" xfId="9005" xr:uid="{A052E4B4-1225-401E-BD17-595801FAE3CB}"/>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2 2 2" xfId="15783" xr:uid="{9A0592B3-2DAE-4A6F-89D9-5B0F7ADF380D}"/>
    <cellStyle name="Normal 4 6 4 2 2 3" xfId="11565" xr:uid="{A9A36B4E-8C00-4088-AF0E-9B019B89355B}"/>
    <cellStyle name="Normal 4 6 4 2 3" xfId="5188" xr:uid="{00000000-0005-0000-0000-00007F160000}"/>
    <cellStyle name="Normal 4 6 4 2 3 2" xfId="13638" xr:uid="{408FD0DD-01CE-4F42-B656-86C73A5D42ED}"/>
    <cellStyle name="Normal 4 6 4 2 4" xfId="9420" xr:uid="{DA3ECB4D-D66E-400F-B5A9-63063BF86446}"/>
    <cellStyle name="Normal 4 6 4 3" xfId="1294" xr:uid="{00000000-0005-0000-0000-000080160000}"/>
    <cellStyle name="Normal 4 6 4 3 2" xfId="3524" xr:uid="{00000000-0005-0000-0000-000081160000}"/>
    <cellStyle name="Normal 4 6 4 3 2 2" xfId="7746" xr:uid="{00000000-0005-0000-0000-000082160000}"/>
    <cellStyle name="Normal 4 6 4 3 2 2 2" xfId="16196" xr:uid="{6AE6D1C7-C440-46DA-A7FF-4158FCAC75C0}"/>
    <cellStyle name="Normal 4 6 4 3 2 3" xfId="11978" xr:uid="{64984E55-AA8F-4BE2-AAF1-B8780219BE50}"/>
    <cellStyle name="Normal 4 6 4 3 3" xfId="5601" xr:uid="{00000000-0005-0000-0000-000083160000}"/>
    <cellStyle name="Normal 4 6 4 3 3 2" xfId="14051" xr:uid="{2D610C38-B653-45BF-9AB2-0B8C71FD8C64}"/>
    <cellStyle name="Normal 4 6 4 3 4" xfId="9833" xr:uid="{25FAF551-83E9-453A-B934-E44D1FE68963}"/>
    <cellStyle name="Normal 4 6 4 4" xfId="1707" xr:uid="{00000000-0005-0000-0000-000084160000}"/>
    <cellStyle name="Normal 4 6 4 4 2" xfId="3937" xr:uid="{00000000-0005-0000-0000-000085160000}"/>
    <cellStyle name="Normal 4 6 4 4 2 2" xfId="8159" xr:uid="{00000000-0005-0000-0000-000086160000}"/>
    <cellStyle name="Normal 4 6 4 4 2 2 2" xfId="16609" xr:uid="{4D06C414-6F61-49C4-8499-572BED77F31F}"/>
    <cellStyle name="Normal 4 6 4 4 2 3" xfId="12391" xr:uid="{071987F3-1F11-4349-9EE2-22FC4F375BDD}"/>
    <cellStyle name="Normal 4 6 4 4 3" xfId="6014" xr:uid="{00000000-0005-0000-0000-000087160000}"/>
    <cellStyle name="Normal 4 6 4 4 3 2" xfId="14464" xr:uid="{750A974F-83D5-4C07-A9F0-F4DEA297D73C}"/>
    <cellStyle name="Normal 4 6 4 4 4" xfId="10246" xr:uid="{2024C8AD-D3BC-4CE4-839F-957151A1B713}"/>
    <cellStyle name="Normal 4 6 4 5" xfId="2121" xr:uid="{00000000-0005-0000-0000-000088160000}"/>
    <cellStyle name="Normal 4 6 4 5 2" xfId="4350" xr:uid="{00000000-0005-0000-0000-000089160000}"/>
    <cellStyle name="Normal 4 6 4 5 2 2" xfId="8572" xr:uid="{00000000-0005-0000-0000-00008A160000}"/>
    <cellStyle name="Normal 4 6 4 5 2 2 2" xfId="17022" xr:uid="{69E4C8F1-CC1D-42D9-8972-DB2DD9BBDE9C}"/>
    <cellStyle name="Normal 4 6 4 5 2 3" xfId="12804" xr:uid="{349BB3B7-9EAF-480B-A44B-FC0D38C5E908}"/>
    <cellStyle name="Normal 4 6 4 5 3" xfId="6427" xr:uid="{00000000-0005-0000-0000-00008B160000}"/>
    <cellStyle name="Normal 4 6 4 5 3 2" xfId="14877" xr:uid="{578789D6-B9C6-4791-8133-B52704E46BD0}"/>
    <cellStyle name="Normal 4 6 4 5 4" xfId="10659" xr:uid="{4DF5308E-AE60-4FBA-8A84-9E9E9F073896}"/>
    <cellStyle name="Normal 4 6 4 6" xfId="2557" xr:uid="{00000000-0005-0000-0000-00008C160000}"/>
    <cellStyle name="Normal 4 6 4 6 2" xfId="6840" xr:uid="{00000000-0005-0000-0000-00008D160000}"/>
    <cellStyle name="Normal 4 6 4 6 2 2" xfId="15290" xr:uid="{435B9F2D-BF3D-42DB-BB0E-5F562199338F}"/>
    <cellStyle name="Normal 4 6 4 6 3" xfId="11072" xr:uid="{A6283E7C-21CA-48F0-BCA7-01FAEA91A9BD}"/>
    <cellStyle name="Normal 4 6 4 7" xfId="4775" xr:uid="{00000000-0005-0000-0000-00008E160000}"/>
    <cellStyle name="Normal 4 6 4 7 2" xfId="13225" xr:uid="{C30D0B17-E5CA-4771-9BE7-85BDDC53B804}"/>
    <cellStyle name="Normal 4 6 4 8" xfId="9007" xr:uid="{A1ED2A4A-D990-4F1D-A76D-1B613C281F03}"/>
    <cellStyle name="Normal 4 6 5" xfId="869" xr:uid="{00000000-0005-0000-0000-00008F160000}"/>
    <cellStyle name="Normal 4 6 5 2" xfId="3104" xr:uid="{00000000-0005-0000-0000-000090160000}"/>
    <cellStyle name="Normal 4 6 5 2 2" xfId="7326" xr:uid="{00000000-0005-0000-0000-000091160000}"/>
    <cellStyle name="Normal 4 6 5 2 2 2" xfId="15776" xr:uid="{7C715888-747D-4955-B769-AA53DFCC4315}"/>
    <cellStyle name="Normal 4 6 5 2 3" xfId="11558" xr:uid="{8BB0610A-7731-40D3-8F48-F37A3C717F7A}"/>
    <cellStyle name="Normal 4 6 5 3" xfId="5181" xr:uid="{00000000-0005-0000-0000-000092160000}"/>
    <cellStyle name="Normal 4 6 5 3 2" xfId="13631" xr:uid="{DA7F67E2-CDF4-46ED-9188-5C14228BECC9}"/>
    <cellStyle name="Normal 4 6 5 4" xfId="9413" xr:uid="{74AAC159-A2DF-49FA-9251-46E1AD71041F}"/>
    <cellStyle name="Normal 4 6 6" xfId="1287" xr:uid="{00000000-0005-0000-0000-000093160000}"/>
    <cellStyle name="Normal 4 6 6 2" xfId="3517" xr:uid="{00000000-0005-0000-0000-000094160000}"/>
    <cellStyle name="Normal 4 6 6 2 2" xfId="7739" xr:uid="{00000000-0005-0000-0000-000095160000}"/>
    <cellStyle name="Normal 4 6 6 2 2 2" xfId="16189" xr:uid="{1EA2479E-EA5D-4446-A973-CE2B9A76A04D}"/>
    <cellStyle name="Normal 4 6 6 2 3" xfId="11971" xr:uid="{343CCD32-0985-48D0-A86D-1863246C0034}"/>
    <cellStyle name="Normal 4 6 6 3" xfId="5594" xr:uid="{00000000-0005-0000-0000-000096160000}"/>
    <cellStyle name="Normal 4 6 6 3 2" xfId="14044" xr:uid="{C0001F6F-33CF-4304-A673-B2113A49325C}"/>
    <cellStyle name="Normal 4 6 6 4" xfId="9826" xr:uid="{858601C9-093E-4525-BC18-D5705F27A488}"/>
    <cellStyle name="Normal 4 6 7" xfId="1700" xr:uid="{00000000-0005-0000-0000-000097160000}"/>
    <cellStyle name="Normal 4 6 7 2" xfId="3930" xr:uid="{00000000-0005-0000-0000-000098160000}"/>
    <cellStyle name="Normal 4 6 7 2 2" xfId="8152" xr:uid="{00000000-0005-0000-0000-000099160000}"/>
    <cellStyle name="Normal 4 6 7 2 2 2" xfId="16602" xr:uid="{2DFEB0CA-C37C-4BA0-947B-DF5B23E354FB}"/>
    <cellStyle name="Normal 4 6 7 2 3" xfId="12384" xr:uid="{98F3859E-F3C3-4767-96D8-EBD04BB848B8}"/>
    <cellStyle name="Normal 4 6 7 3" xfId="6007" xr:uid="{00000000-0005-0000-0000-00009A160000}"/>
    <cellStyle name="Normal 4 6 7 3 2" xfId="14457" xr:uid="{2E7FF2FE-A020-4A48-BDA6-81529FD6C515}"/>
    <cellStyle name="Normal 4 6 7 4" xfId="10239" xr:uid="{4099687B-2B37-46D3-8524-99EB84A9C39F}"/>
    <cellStyle name="Normal 4 6 8" xfId="2114" xr:uid="{00000000-0005-0000-0000-00009B160000}"/>
    <cellStyle name="Normal 4 6 8 2" xfId="4343" xr:uid="{00000000-0005-0000-0000-00009C160000}"/>
    <cellStyle name="Normal 4 6 8 2 2" xfId="8565" xr:uid="{00000000-0005-0000-0000-00009D160000}"/>
    <cellStyle name="Normal 4 6 8 2 2 2" xfId="17015" xr:uid="{3B7BF53D-0E67-4B3B-9A85-B37F7054AE7D}"/>
    <cellStyle name="Normal 4 6 8 2 3" xfId="12797" xr:uid="{8D6C7FC1-85EF-45DB-895B-C51CAB55D551}"/>
    <cellStyle name="Normal 4 6 8 3" xfId="6420" xr:uid="{00000000-0005-0000-0000-00009E160000}"/>
    <cellStyle name="Normal 4 6 8 3 2" xfId="14870" xr:uid="{BD9152EB-53DD-4687-BE5D-BEB437D24ECF}"/>
    <cellStyle name="Normal 4 6 8 4" xfId="10652" xr:uid="{16FA6A23-1E86-4605-930B-59D57E828BF2}"/>
    <cellStyle name="Normal 4 6 9" xfId="2550" xr:uid="{00000000-0005-0000-0000-00009F160000}"/>
    <cellStyle name="Normal 4 6 9 2" xfId="6833" xr:uid="{00000000-0005-0000-0000-0000A0160000}"/>
    <cellStyle name="Normal 4 6 9 2 2" xfId="15283" xr:uid="{09E463E4-EEEA-48A8-83DF-0E521BC9ACDA}"/>
    <cellStyle name="Normal 4 6 9 3" xfId="11065" xr:uid="{77778D2F-0C57-41A8-8114-B0CE2F1CD28A}"/>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2 2 2" xfId="15785" xr:uid="{B6D64804-14D2-4A54-A892-8996E416BE85}"/>
    <cellStyle name="Normal 4 7 2 2 2 3" xfId="11567" xr:uid="{229670BA-9B00-4CEA-8C7F-956BBBE6B00D}"/>
    <cellStyle name="Normal 4 7 2 2 3" xfId="5190" xr:uid="{00000000-0005-0000-0000-0000A6160000}"/>
    <cellStyle name="Normal 4 7 2 2 3 2" xfId="13640" xr:uid="{19CB5EDA-488C-4AA3-8B08-4C35D4EFF325}"/>
    <cellStyle name="Normal 4 7 2 2 4" xfId="9422" xr:uid="{093BC995-717C-4D13-9C5B-5B7BD0EBD2B3}"/>
    <cellStyle name="Normal 4 7 2 3" xfId="1296" xr:uid="{00000000-0005-0000-0000-0000A7160000}"/>
    <cellStyle name="Normal 4 7 2 3 2" xfId="3526" xr:uid="{00000000-0005-0000-0000-0000A8160000}"/>
    <cellStyle name="Normal 4 7 2 3 2 2" xfId="7748" xr:uid="{00000000-0005-0000-0000-0000A9160000}"/>
    <cellStyle name="Normal 4 7 2 3 2 2 2" xfId="16198" xr:uid="{F717571D-2B27-47CE-AE1C-62396B821A99}"/>
    <cellStyle name="Normal 4 7 2 3 2 3" xfId="11980" xr:uid="{505F39F0-220A-453B-8BFE-245968240420}"/>
    <cellStyle name="Normal 4 7 2 3 3" xfId="5603" xr:uid="{00000000-0005-0000-0000-0000AA160000}"/>
    <cellStyle name="Normal 4 7 2 3 3 2" xfId="14053" xr:uid="{BF04E816-87AD-4EC6-BCB9-EAC692A2492A}"/>
    <cellStyle name="Normal 4 7 2 3 4" xfId="9835" xr:uid="{FCDB65E1-F207-4543-A8FB-EE954462A6C5}"/>
    <cellStyle name="Normal 4 7 2 4" xfId="1709" xr:uid="{00000000-0005-0000-0000-0000AB160000}"/>
    <cellStyle name="Normal 4 7 2 4 2" xfId="3939" xr:uid="{00000000-0005-0000-0000-0000AC160000}"/>
    <cellStyle name="Normal 4 7 2 4 2 2" xfId="8161" xr:uid="{00000000-0005-0000-0000-0000AD160000}"/>
    <cellStyle name="Normal 4 7 2 4 2 2 2" xfId="16611" xr:uid="{2868597B-E1CB-4DB5-BCFB-6CB6E7BDCA8E}"/>
    <cellStyle name="Normal 4 7 2 4 2 3" xfId="12393" xr:uid="{B218ECA0-F344-4DB4-9537-1EC410E2B09F}"/>
    <cellStyle name="Normal 4 7 2 4 3" xfId="6016" xr:uid="{00000000-0005-0000-0000-0000AE160000}"/>
    <cellStyle name="Normal 4 7 2 4 3 2" xfId="14466" xr:uid="{BC6BD575-1236-47D8-A836-5C1EC7935EC2}"/>
    <cellStyle name="Normal 4 7 2 4 4" xfId="10248" xr:uid="{EB564731-8E86-491A-ABA1-9AD323656EEB}"/>
    <cellStyle name="Normal 4 7 2 5" xfId="2123" xr:uid="{00000000-0005-0000-0000-0000AF160000}"/>
    <cellStyle name="Normal 4 7 2 5 2" xfId="4352" xr:uid="{00000000-0005-0000-0000-0000B0160000}"/>
    <cellStyle name="Normal 4 7 2 5 2 2" xfId="8574" xr:uid="{00000000-0005-0000-0000-0000B1160000}"/>
    <cellStyle name="Normal 4 7 2 5 2 2 2" xfId="17024" xr:uid="{00FC00F8-FFC3-4F97-B765-A7A00D8B9A48}"/>
    <cellStyle name="Normal 4 7 2 5 2 3" xfId="12806" xr:uid="{C573F080-3E94-4029-BA39-E977483B080C}"/>
    <cellStyle name="Normal 4 7 2 5 3" xfId="6429" xr:uid="{00000000-0005-0000-0000-0000B2160000}"/>
    <cellStyle name="Normal 4 7 2 5 3 2" xfId="14879" xr:uid="{F91E0436-3682-4C40-A016-B082573125BC}"/>
    <cellStyle name="Normal 4 7 2 5 4" xfId="10661" xr:uid="{33B984C8-2EF7-403A-A2DB-5373ADEF6EA6}"/>
    <cellStyle name="Normal 4 7 2 6" xfId="2559" xr:uid="{00000000-0005-0000-0000-0000B3160000}"/>
    <cellStyle name="Normal 4 7 2 6 2" xfId="6842" xr:uid="{00000000-0005-0000-0000-0000B4160000}"/>
    <cellStyle name="Normal 4 7 2 6 2 2" xfId="15292" xr:uid="{7E847DFA-D452-4B13-839D-51F318E81C63}"/>
    <cellStyle name="Normal 4 7 2 6 3" xfId="11074" xr:uid="{D092718E-3101-42E0-8FB0-94F6AE514F59}"/>
    <cellStyle name="Normal 4 7 2 7" xfId="4777" xr:uid="{00000000-0005-0000-0000-0000B5160000}"/>
    <cellStyle name="Normal 4 7 2 7 2" xfId="13227" xr:uid="{B9CE665B-AAF5-4584-B608-32ACCD9471D9}"/>
    <cellStyle name="Normal 4 7 2 8" xfId="9009" xr:uid="{43D732F9-DBE2-4400-B79F-BA3EFA5886F6}"/>
    <cellStyle name="Normal 4 7 3" xfId="877" xr:uid="{00000000-0005-0000-0000-0000B6160000}"/>
    <cellStyle name="Normal 4 7 3 2" xfId="3112" xr:uid="{00000000-0005-0000-0000-0000B7160000}"/>
    <cellStyle name="Normal 4 7 3 2 2" xfId="7334" xr:uid="{00000000-0005-0000-0000-0000B8160000}"/>
    <cellStyle name="Normal 4 7 3 2 2 2" xfId="15784" xr:uid="{7502A7C4-8EC9-4FA2-A48B-D8F3751B2D24}"/>
    <cellStyle name="Normal 4 7 3 2 3" xfId="11566" xr:uid="{0AF8AE46-558B-4302-81D6-29879810875E}"/>
    <cellStyle name="Normal 4 7 3 3" xfId="5189" xr:uid="{00000000-0005-0000-0000-0000B9160000}"/>
    <cellStyle name="Normal 4 7 3 3 2" xfId="13639" xr:uid="{DDE700A2-AA96-4809-A2C9-7753CD4742AD}"/>
    <cellStyle name="Normal 4 7 3 4" xfId="9421" xr:uid="{015EAC3A-03A8-4E80-BEA4-817E30B05127}"/>
    <cellStyle name="Normal 4 7 4" xfId="1295" xr:uid="{00000000-0005-0000-0000-0000BA160000}"/>
    <cellStyle name="Normal 4 7 4 2" xfId="3525" xr:uid="{00000000-0005-0000-0000-0000BB160000}"/>
    <cellStyle name="Normal 4 7 4 2 2" xfId="7747" xr:uid="{00000000-0005-0000-0000-0000BC160000}"/>
    <cellStyle name="Normal 4 7 4 2 2 2" xfId="16197" xr:uid="{B57A6EA3-38BD-4864-A0AD-1CA5DBCF39A7}"/>
    <cellStyle name="Normal 4 7 4 2 3" xfId="11979" xr:uid="{0E5B303D-B3CE-4037-8D70-BAB362ED8B70}"/>
    <cellStyle name="Normal 4 7 4 3" xfId="5602" xr:uid="{00000000-0005-0000-0000-0000BD160000}"/>
    <cellStyle name="Normal 4 7 4 3 2" xfId="14052" xr:uid="{DFE2C458-F63B-4F02-B489-3DF1658FF2B9}"/>
    <cellStyle name="Normal 4 7 4 4" xfId="9834" xr:uid="{011BF9BD-60FE-461F-BEE7-48469D3D7DF6}"/>
    <cellStyle name="Normal 4 7 5" xfId="1708" xr:uid="{00000000-0005-0000-0000-0000BE160000}"/>
    <cellStyle name="Normal 4 7 5 2" xfId="3938" xr:uid="{00000000-0005-0000-0000-0000BF160000}"/>
    <cellStyle name="Normal 4 7 5 2 2" xfId="8160" xr:uid="{00000000-0005-0000-0000-0000C0160000}"/>
    <cellStyle name="Normal 4 7 5 2 2 2" xfId="16610" xr:uid="{02374C19-9675-47EC-A0D2-8A0C1B2858D1}"/>
    <cellStyle name="Normal 4 7 5 2 3" xfId="12392" xr:uid="{526C294A-61FF-4D43-859A-48BDDF9FD1BE}"/>
    <cellStyle name="Normal 4 7 5 3" xfId="6015" xr:uid="{00000000-0005-0000-0000-0000C1160000}"/>
    <cellStyle name="Normal 4 7 5 3 2" xfId="14465" xr:uid="{CF9F501B-71F3-493B-A5B2-B1F7F98004BB}"/>
    <cellStyle name="Normal 4 7 5 4" xfId="10247" xr:uid="{AC2B2622-7339-4442-B329-C680B40124C5}"/>
    <cellStyle name="Normal 4 7 6" xfId="2122" xr:uid="{00000000-0005-0000-0000-0000C2160000}"/>
    <cellStyle name="Normal 4 7 6 2" xfId="4351" xr:uid="{00000000-0005-0000-0000-0000C3160000}"/>
    <cellStyle name="Normal 4 7 6 2 2" xfId="8573" xr:uid="{00000000-0005-0000-0000-0000C4160000}"/>
    <cellStyle name="Normal 4 7 6 2 2 2" xfId="17023" xr:uid="{1E8E9D11-9578-413B-ADFA-35EADA40757E}"/>
    <cellStyle name="Normal 4 7 6 2 3" xfId="12805" xr:uid="{6048573D-0A72-4392-894D-8D0944797588}"/>
    <cellStyle name="Normal 4 7 6 3" xfId="6428" xr:uid="{00000000-0005-0000-0000-0000C5160000}"/>
    <cellStyle name="Normal 4 7 6 3 2" xfId="14878" xr:uid="{256CB75D-1E29-4866-AB52-45E1B6603EE6}"/>
    <cellStyle name="Normal 4 7 6 4" xfId="10660" xr:uid="{21C8D34F-C536-4429-B923-EAE33723D1C3}"/>
    <cellStyle name="Normal 4 7 7" xfId="2558" xr:uid="{00000000-0005-0000-0000-0000C6160000}"/>
    <cellStyle name="Normal 4 7 7 2" xfId="6841" xr:uid="{00000000-0005-0000-0000-0000C7160000}"/>
    <cellStyle name="Normal 4 7 7 2 2" xfId="15291" xr:uid="{4D8D3001-87F4-45A3-9E6E-72FCBF575552}"/>
    <cellStyle name="Normal 4 7 7 3" xfId="11073" xr:uid="{1DB2B5A8-291B-40E0-A428-8157506FADE3}"/>
    <cellStyle name="Normal 4 7 8" xfId="4776" xr:uid="{00000000-0005-0000-0000-0000C8160000}"/>
    <cellStyle name="Normal 4 7 8 2" xfId="13226" xr:uid="{6EDABA03-AE31-4161-A079-B4C393F60C72}"/>
    <cellStyle name="Normal 4 7 9" xfId="9008" xr:uid="{42947008-CDE8-4DD7-8B01-F7D23D0401B7}"/>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2 2 2" xfId="15786" xr:uid="{AB519667-C9B6-451F-85B7-25AAF83BF45E}"/>
    <cellStyle name="Normal 4 8 2 2 3" xfId="11568" xr:uid="{91EA0DF2-08E2-48F3-8F59-447C745C24D9}"/>
    <cellStyle name="Normal 4 8 2 3" xfId="5191" xr:uid="{00000000-0005-0000-0000-0000CD160000}"/>
    <cellStyle name="Normal 4 8 2 3 2" xfId="13641" xr:uid="{364449E5-EAD3-433E-BC0E-DB9D466A7B47}"/>
    <cellStyle name="Normal 4 8 2 4" xfId="9423" xr:uid="{26D4A9C9-1B8D-41FF-B5C2-2DEA5CF41701}"/>
    <cellStyle name="Normal 4 8 3" xfId="1297" xr:uid="{00000000-0005-0000-0000-0000CE160000}"/>
    <cellStyle name="Normal 4 8 3 2" xfId="3527" xr:uid="{00000000-0005-0000-0000-0000CF160000}"/>
    <cellStyle name="Normal 4 8 3 2 2" xfId="7749" xr:uid="{00000000-0005-0000-0000-0000D0160000}"/>
    <cellStyle name="Normal 4 8 3 2 2 2" xfId="16199" xr:uid="{715A5CE2-7418-421B-BE0A-00A868907847}"/>
    <cellStyle name="Normal 4 8 3 2 3" xfId="11981" xr:uid="{904F7608-4634-4EC9-A97B-1D3F261E2BBE}"/>
    <cellStyle name="Normal 4 8 3 3" xfId="5604" xr:uid="{00000000-0005-0000-0000-0000D1160000}"/>
    <cellStyle name="Normal 4 8 3 3 2" xfId="14054" xr:uid="{A6B6E2EF-D646-4EFF-9CD9-26F1A7DA22DC}"/>
    <cellStyle name="Normal 4 8 3 4" xfId="9836" xr:uid="{4E92D9AE-08A2-4746-BAC6-46FF9AC5D6C7}"/>
    <cellStyle name="Normal 4 8 4" xfId="1710" xr:uid="{00000000-0005-0000-0000-0000D2160000}"/>
    <cellStyle name="Normal 4 8 4 2" xfId="3940" xr:uid="{00000000-0005-0000-0000-0000D3160000}"/>
    <cellStyle name="Normal 4 8 4 2 2" xfId="8162" xr:uid="{00000000-0005-0000-0000-0000D4160000}"/>
    <cellStyle name="Normal 4 8 4 2 2 2" xfId="16612" xr:uid="{CB370C34-C6B8-4ECA-81E9-1C9CD5D6F511}"/>
    <cellStyle name="Normal 4 8 4 2 3" xfId="12394" xr:uid="{9E427CB7-DC45-49CC-B434-5CD4424107CD}"/>
    <cellStyle name="Normal 4 8 4 3" xfId="6017" xr:uid="{00000000-0005-0000-0000-0000D5160000}"/>
    <cellStyle name="Normal 4 8 4 3 2" xfId="14467" xr:uid="{8879CCBF-F01C-4053-9831-552BBF6A00BD}"/>
    <cellStyle name="Normal 4 8 4 4" xfId="10249" xr:uid="{26E0C561-F616-4035-BE4F-9E1A6CFAEF3F}"/>
    <cellStyle name="Normal 4 8 5" xfId="2124" xr:uid="{00000000-0005-0000-0000-0000D6160000}"/>
    <cellStyle name="Normal 4 8 5 2" xfId="4353" xr:uid="{00000000-0005-0000-0000-0000D7160000}"/>
    <cellStyle name="Normal 4 8 5 2 2" xfId="8575" xr:uid="{00000000-0005-0000-0000-0000D8160000}"/>
    <cellStyle name="Normal 4 8 5 2 2 2" xfId="17025" xr:uid="{589FFFEC-9F4F-4C06-8A3D-B8C25F8924B5}"/>
    <cellStyle name="Normal 4 8 5 2 3" xfId="12807" xr:uid="{71DDBE31-D735-4B40-89B1-E7F4D40024AE}"/>
    <cellStyle name="Normal 4 8 5 3" xfId="6430" xr:uid="{00000000-0005-0000-0000-0000D9160000}"/>
    <cellStyle name="Normal 4 8 5 3 2" xfId="14880" xr:uid="{ED233393-39CE-4A13-A4BD-CA219EED2562}"/>
    <cellStyle name="Normal 4 8 5 4" xfId="10662" xr:uid="{28CC0449-C826-4CED-9323-FF5CE073E083}"/>
    <cellStyle name="Normal 4 8 6" xfId="2560" xr:uid="{00000000-0005-0000-0000-0000DA160000}"/>
    <cellStyle name="Normal 4 8 6 2" xfId="6843" xr:uid="{00000000-0005-0000-0000-0000DB160000}"/>
    <cellStyle name="Normal 4 8 6 2 2" xfId="15293" xr:uid="{B68EDE2F-E7C5-4185-B6DF-60D46A3B3DFC}"/>
    <cellStyle name="Normal 4 8 6 3" xfId="11075" xr:uid="{8D568883-C842-48B7-B0AE-F4D2FCF569C5}"/>
    <cellStyle name="Normal 4 8 7" xfId="4778" xr:uid="{00000000-0005-0000-0000-0000DC160000}"/>
    <cellStyle name="Normal 4 8 7 2" xfId="13228" xr:uid="{4A705321-051C-4EDC-BB90-F605DAB1456A}"/>
    <cellStyle name="Normal 4 8 8" xfId="9010" xr:uid="{DF0DEBEE-852C-42BA-A96B-D4173E1C3D45}"/>
    <cellStyle name="Normal 4 9" xfId="4715" xr:uid="{00000000-0005-0000-0000-0000DD160000}"/>
    <cellStyle name="Normal 4 9 2" xfId="13165" xr:uid="{54C029BA-9FC0-414F-BFAE-9D5BBB428AAF}"/>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2 2 2" xfId="16613" xr:uid="{21D0FF89-287F-4703-954E-9E4FCEBE446C}"/>
    <cellStyle name="Normal 5 10 2 3" xfId="12395" xr:uid="{2B353898-D8D6-45EF-AF73-63AFA9B2BBD9}"/>
    <cellStyle name="Normal 5 10 3" xfId="6018" xr:uid="{00000000-0005-0000-0000-0000E2160000}"/>
    <cellStyle name="Normal 5 10 3 2" xfId="14468" xr:uid="{57B13E3E-EE8F-434C-8DF1-C2C260B70C91}"/>
    <cellStyle name="Normal 5 10 4" xfId="10250" xr:uid="{FA86DE03-B83A-4267-8D1D-7335DA13F8D1}"/>
    <cellStyle name="Normal 5 11" xfId="2125" xr:uid="{00000000-0005-0000-0000-0000E3160000}"/>
    <cellStyle name="Normal 5 11 2" xfId="4354" xr:uid="{00000000-0005-0000-0000-0000E4160000}"/>
    <cellStyle name="Normal 5 11 2 2" xfId="8576" xr:uid="{00000000-0005-0000-0000-0000E5160000}"/>
    <cellStyle name="Normal 5 11 2 2 2" xfId="17026" xr:uid="{6D17F49D-6399-4114-A9CB-6B6D77B530DB}"/>
    <cellStyle name="Normal 5 11 2 3" xfId="12808" xr:uid="{A9060395-C9E6-40E1-8273-C285490DCCBB}"/>
    <cellStyle name="Normal 5 11 3" xfId="6431" xr:uid="{00000000-0005-0000-0000-0000E6160000}"/>
    <cellStyle name="Normal 5 11 3 2" xfId="14881" xr:uid="{91E2C799-6A87-45B7-A390-4B176BF8B5E3}"/>
    <cellStyle name="Normal 5 11 4" xfId="10663" xr:uid="{24014F9B-A017-4DD5-9E1F-48900BA7BB4C}"/>
    <cellStyle name="Normal 5 12" xfId="2561" xr:uid="{00000000-0005-0000-0000-0000E7160000}"/>
    <cellStyle name="Normal 5 12 2" xfId="6844" xr:uid="{00000000-0005-0000-0000-0000E8160000}"/>
    <cellStyle name="Normal 5 12 2 2" xfId="15294" xr:uid="{049611E9-EB3D-4A95-B31C-56B6C9C0583F}"/>
    <cellStyle name="Normal 5 12 3" xfId="11076" xr:uid="{E7647EAC-2359-4E6E-8832-31202B9730AB}"/>
    <cellStyle name="Normal 5 13" xfId="4779" xr:uid="{00000000-0005-0000-0000-0000E9160000}"/>
    <cellStyle name="Normal 5 13 2" xfId="13229" xr:uid="{F1C60F6F-3D60-4BB3-8B49-8090A0C5ACAC}"/>
    <cellStyle name="Normal 5 14" xfId="9011" xr:uid="{CEFBB803-E707-42C7-AF4C-D0644CBE59FE}"/>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2 2 2" xfId="17027" xr:uid="{DC9E382F-9760-4EB1-A29A-97DBA80D53B2}"/>
    <cellStyle name="Normal 5 2 10 2 3" xfId="12809" xr:uid="{ECAFA9D9-6D66-422E-83F6-ABB59DC9747D}"/>
    <cellStyle name="Normal 5 2 10 3" xfId="6432" xr:uid="{00000000-0005-0000-0000-0000EE160000}"/>
    <cellStyle name="Normal 5 2 10 3 2" xfId="14882" xr:uid="{174B1A02-4C9E-4C5D-B39D-0E84623A9B1D}"/>
    <cellStyle name="Normal 5 2 10 4" xfId="10664" xr:uid="{F5E586DF-B4AF-4B1B-AC1E-607167B74C89}"/>
    <cellStyle name="Normal 5 2 11" xfId="2562" xr:uid="{00000000-0005-0000-0000-0000EF160000}"/>
    <cellStyle name="Normal 5 2 11 2" xfId="6845" xr:uid="{00000000-0005-0000-0000-0000F0160000}"/>
    <cellStyle name="Normal 5 2 11 2 2" xfId="15295" xr:uid="{37774561-4ABF-41E8-BC56-ABB081898562}"/>
    <cellStyle name="Normal 5 2 11 3" xfId="11077" xr:uid="{6518BB4B-97F4-49C7-A918-22717E57E845}"/>
    <cellStyle name="Normal 5 2 12" xfId="4780" xr:uid="{00000000-0005-0000-0000-0000F1160000}"/>
    <cellStyle name="Normal 5 2 12 2" xfId="13230" xr:uid="{11E83CD6-9CA9-483D-82DF-6922DD90F67B}"/>
    <cellStyle name="Normal 5 2 13" xfId="9012" xr:uid="{13E4A750-4982-4266-A8E8-74E85BE1F1AC}"/>
    <cellStyle name="Normal 5 2 2" xfId="408" xr:uid="{00000000-0005-0000-0000-0000F2160000}"/>
    <cellStyle name="Normal 5 2 2 10" xfId="2563" xr:uid="{00000000-0005-0000-0000-0000F3160000}"/>
    <cellStyle name="Normal 5 2 2 10 2" xfId="6846" xr:uid="{00000000-0005-0000-0000-0000F4160000}"/>
    <cellStyle name="Normal 5 2 2 10 2 2" xfId="15296" xr:uid="{2A26B995-39C9-4183-9948-F0A737546C23}"/>
    <cellStyle name="Normal 5 2 2 10 3" xfId="11078" xr:uid="{50DECFDD-ECF9-42AD-919C-0A2D004F2F31}"/>
    <cellStyle name="Normal 5 2 2 11" xfId="4781" xr:uid="{00000000-0005-0000-0000-0000F5160000}"/>
    <cellStyle name="Normal 5 2 2 11 2" xfId="13231" xr:uid="{64B322AA-62F7-4C3D-91D1-C45EB66DAC12}"/>
    <cellStyle name="Normal 5 2 2 12" xfId="9013" xr:uid="{F6D487B8-4D71-4C4E-B854-2598DD2D932C}"/>
    <cellStyle name="Normal 5 2 2 2" xfId="409" xr:uid="{00000000-0005-0000-0000-0000F6160000}"/>
    <cellStyle name="Normal 5 2 2 2 10" xfId="4782" xr:uid="{00000000-0005-0000-0000-0000F7160000}"/>
    <cellStyle name="Normal 5 2 2 2 10 2" xfId="13232" xr:uid="{4242C116-FED3-45A1-AFC1-B6D472C02E38}"/>
    <cellStyle name="Normal 5 2 2 2 11" xfId="9014" xr:uid="{66D27C66-2AA0-4154-8356-A26D0A206288}"/>
    <cellStyle name="Normal 5 2 2 2 2" xfId="410" xr:uid="{00000000-0005-0000-0000-0000F8160000}"/>
    <cellStyle name="Normal 5 2 2 2 2 10" xfId="9015" xr:uid="{530758DC-4630-4709-ADC6-39FB61F543A1}"/>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2 2 2" xfId="15793" xr:uid="{CF0719D3-A4AF-4298-A023-28CD6993694B}"/>
    <cellStyle name="Normal 5 2 2 2 2 2 2 2 2 3" xfId="11575" xr:uid="{1C5DA397-2FC9-479D-AC31-05CECBEF9140}"/>
    <cellStyle name="Normal 5 2 2 2 2 2 2 2 3" xfId="5198" xr:uid="{00000000-0005-0000-0000-0000FE160000}"/>
    <cellStyle name="Normal 5 2 2 2 2 2 2 2 3 2" xfId="13648" xr:uid="{833503D8-FC3B-4C84-A472-8A337CF9C1C0}"/>
    <cellStyle name="Normal 5 2 2 2 2 2 2 2 4" xfId="9430" xr:uid="{EC564563-093F-4D9F-8D78-8936401DDFDA}"/>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2 2 2" xfId="16206" xr:uid="{37F6C65B-825D-43BA-BC39-A3A37E6B91AC}"/>
    <cellStyle name="Normal 5 2 2 2 2 2 2 3 2 3" xfId="11988" xr:uid="{BAE75126-D08E-42F7-A9F9-B84D3D331B65}"/>
    <cellStyle name="Normal 5 2 2 2 2 2 2 3 3" xfId="5611" xr:uid="{00000000-0005-0000-0000-000002170000}"/>
    <cellStyle name="Normal 5 2 2 2 2 2 2 3 3 2" xfId="14061" xr:uid="{AE23B151-E0C5-4288-A9B0-EC2CE0FFD97F}"/>
    <cellStyle name="Normal 5 2 2 2 2 2 2 3 4" xfId="9843" xr:uid="{D527CF5E-6D04-4543-9753-B0315F2A473C}"/>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2 2 2" xfId="16619" xr:uid="{AD0AD8AB-A560-4A9F-8529-E2A68C701506}"/>
    <cellStyle name="Normal 5 2 2 2 2 2 2 4 2 3" xfId="12401" xr:uid="{71B5F35B-D85B-4069-82A0-C09C5E03D51E}"/>
    <cellStyle name="Normal 5 2 2 2 2 2 2 4 3" xfId="6024" xr:uid="{00000000-0005-0000-0000-000006170000}"/>
    <cellStyle name="Normal 5 2 2 2 2 2 2 4 3 2" xfId="14474" xr:uid="{391F41D2-9798-4C8A-8154-61878200A4AB}"/>
    <cellStyle name="Normal 5 2 2 2 2 2 2 4 4" xfId="10256" xr:uid="{4F2CB814-D6A5-400A-9537-F76A2209EFBB}"/>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2 2 2" xfId="17032" xr:uid="{D7C38979-259E-4A71-A578-B30FE2B2C6CA}"/>
    <cellStyle name="Normal 5 2 2 2 2 2 2 5 2 3" xfId="12814" xr:uid="{63D4CE8C-AB34-4CD1-8DE4-C047B3F61DDC}"/>
    <cellStyle name="Normal 5 2 2 2 2 2 2 5 3" xfId="6437" xr:uid="{00000000-0005-0000-0000-00000A170000}"/>
    <cellStyle name="Normal 5 2 2 2 2 2 2 5 3 2" xfId="14887" xr:uid="{836CAB9B-2DBE-4847-B680-38D7E5D88A72}"/>
    <cellStyle name="Normal 5 2 2 2 2 2 2 5 4" xfId="10669" xr:uid="{38495ED8-E5AB-4C8B-93FE-9358431DD534}"/>
    <cellStyle name="Normal 5 2 2 2 2 2 2 6" xfId="2567" xr:uid="{00000000-0005-0000-0000-00000B170000}"/>
    <cellStyle name="Normal 5 2 2 2 2 2 2 6 2" xfId="6850" xr:uid="{00000000-0005-0000-0000-00000C170000}"/>
    <cellStyle name="Normal 5 2 2 2 2 2 2 6 2 2" xfId="15300" xr:uid="{E194325D-B867-4410-A0BF-B0093936AE81}"/>
    <cellStyle name="Normal 5 2 2 2 2 2 2 6 3" xfId="11082" xr:uid="{D4892284-F057-4E88-8EC6-EC685C530CCA}"/>
    <cellStyle name="Normal 5 2 2 2 2 2 2 7" xfId="4785" xr:uid="{00000000-0005-0000-0000-00000D170000}"/>
    <cellStyle name="Normal 5 2 2 2 2 2 2 7 2" xfId="13235" xr:uid="{1B92A587-1D66-4D4A-B611-E88A2FBD2F7E}"/>
    <cellStyle name="Normal 5 2 2 2 2 2 2 8" xfId="9017" xr:uid="{986C6AD8-83E3-4B1A-9A8E-0EF6967C212B}"/>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2 2 2" xfId="15792" xr:uid="{054F3CE8-004C-488A-8F62-68FE82FEFC1B}"/>
    <cellStyle name="Normal 5 2 2 2 2 2 3 2 3" xfId="11574" xr:uid="{3FE6002E-6C7C-4490-A428-EB766120550A}"/>
    <cellStyle name="Normal 5 2 2 2 2 2 3 3" xfId="5197" xr:uid="{00000000-0005-0000-0000-000011170000}"/>
    <cellStyle name="Normal 5 2 2 2 2 2 3 3 2" xfId="13647" xr:uid="{116D00F2-550E-4951-857B-4E513F8CADD5}"/>
    <cellStyle name="Normal 5 2 2 2 2 2 3 4" xfId="9429" xr:uid="{526995F3-0B00-4963-83B7-787BDA500049}"/>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2 2 2" xfId="16205" xr:uid="{0793F4FC-99A4-4EFA-9E9B-F41668BAA39F}"/>
    <cellStyle name="Normal 5 2 2 2 2 2 4 2 3" xfId="11987" xr:uid="{439AFE26-BD2D-4387-AB30-A5222FF97C1D}"/>
    <cellStyle name="Normal 5 2 2 2 2 2 4 3" xfId="5610" xr:uid="{00000000-0005-0000-0000-000015170000}"/>
    <cellStyle name="Normal 5 2 2 2 2 2 4 3 2" xfId="14060" xr:uid="{B0D6D5B8-79D4-4BA6-86CE-6568A198DC6B}"/>
    <cellStyle name="Normal 5 2 2 2 2 2 4 4" xfId="9842" xr:uid="{1823E8D2-6753-4E51-9F9A-09194FE9018E}"/>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2 2 2" xfId="16618" xr:uid="{F67CBD8D-8786-49B9-93BE-487CC3742284}"/>
    <cellStyle name="Normal 5 2 2 2 2 2 5 2 3" xfId="12400" xr:uid="{E63ECC0A-1EA7-4FFF-BD4B-C83CA8C6FAD1}"/>
    <cellStyle name="Normal 5 2 2 2 2 2 5 3" xfId="6023" xr:uid="{00000000-0005-0000-0000-000019170000}"/>
    <cellStyle name="Normal 5 2 2 2 2 2 5 3 2" xfId="14473" xr:uid="{0E9476BF-AA1F-4357-A90B-B2A5405F6009}"/>
    <cellStyle name="Normal 5 2 2 2 2 2 5 4" xfId="10255" xr:uid="{F08AEE1C-FD9C-4363-B90C-58EE6BFC9B76}"/>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2 2 2" xfId="17031" xr:uid="{9CFC52C5-3EA6-43FE-BB93-B77DDA1E6C8E}"/>
    <cellStyle name="Normal 5 2 2 2 2 2 6 2 3" xfId="12813" xr:uid="{9BA99C04-FCBA-4CAA-8103-7ADB9C023CF1}"/>
    <cellStyle name="Normal 5 2 2 2 2 2 6 3" xfId="6436" xr:uid="{00000000-0005-0000-0000-00001D170000}"/>
    <cellStyle name="Normal 5 2 2 2 2 2 6 3 2" xfId="14886" xr:uid="{DC3E2B9A-D99A-4CB2-AE0F-8E42B18557BB}"/>
    <cellStyle name="Normal 5 2 2 2 2 2 6 4" xfId="10668" xr:uid="{F96C0A5F-C527-4E84-8FC0-5C0B060CC16F}"/>
    <cellStyle name="Normal 5 2 2 2 2 2 7" xfId="2566" xr:uid="{00000000-0005-0000-0000-00001E170000}"/>
    <cellStyle name="Normal 5 2 2 2 2 2 7 2" xfId="6849" xr:uid="{00000000-0005-0000-0000-00001F170000}"/>
    <cellStyle name="Normal 5 2 2 2 2 2 7 2 2" xfId="15299" xr:uid="{2C31D7D3-D588-49F8-85A3-FF3D05D9CC34}"/>
    <cellStyle name="Normal 5 2 2 2 2 2 7 3" xfId="11081" xr:uid="{D56582DC-3283-445C-A104-A4F7C7BCD180}"/>
    <cellStyle name="Normal 5 2 2 2 2 2 8" xfId="4784" xr:uid="{00000000-0005-0000-0000-000020170000}"/>
    <cellStyle name="Normal 5 2 2 2 2 2 8 2" xfId="13234" xr:uid="{1E95749F-718F-492D-854D-87D911BE2A72}"/>
    <cellStyle name="Normal 5 2 2 2 2 2 9" xfId="9016" xr:uid="{78D7E6F2-D0B1-4801-A711-7AD365B5BD84}"/>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2 2 2" xfId="15794" xr:uid="{6119F77F-2F9D-4901-8EA1-645ECB70E617}"/>
    <cellStyle name="Normal 5 2 2 2 2 3 2 2 3" xfId="11576" xr:uid="{99CC3C6E-D40A-47EE-9A90-DA5F906E1B4F}"/>
    <cellStyle name="Normal 5 2 2 2 2 3 2 3" xfId="5199" xr:uid="{00000000-0005-0000-0000-000025170000}"/>
    <cellStyle name="Normal 5 2 2 2 2 3 2 3 2" xfId="13649" xr:uid="{F5E5B1B7-08FD-472E-84BA-CE2EBE7EF911}"/>
    <cellStyle name="Normal 5 2 2 2 2 3 2 4" xfId="9431" xr:uid="{6D963E83-8798-4046-AB16-5B431906EA41}"/>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2 2 2" xfId="16207" xr:uid="{16D88246-91C0-4869-93AB-447CD8AD2DE9}"/>
    <cellStyle name="Normal 5 2 2 2 2 3 3 2 3" xfId="11989" xr:uid="{2DEABFFC-1D78-476C-B09E-5F655E0E40FC}"/>
    <cellStyle name="Normal 5 2 2 2 2 3 3 3" xfId="5612" xr:uid="{00000000-0005-0000-0000-000029170000}"/>
    <cellStyle name="Normal 5 2 2 2 2 3 3 3 2" xfId="14062" xr:uid="{EB11EC22-2860-48AF-BDE4-9062FF987DF2}"/>
    <cellStyle name="Normal 5 2 2 2 2 3 3 4" xfId="9844" xr:uid="{FAA3777E-D8FD-4D19-B859-299AF6DF0F7F}"/>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2 2 2" xfId="16620" xr:uid="{4BBB4E6E-5F18-4816-B67F-0BCEDE39ED66}"/>
    <cellStyle name="Normal 5 2 2 2 2 3 4 2 3" xfId="12402" xr:uid="{DE8037DC-F4FB-46EE-A074-9D92BDE6212E}"/>
    <cellStyle name="Normal 5 2 2 2 2 3 4 3" xfId="6025" xr:uid="{00000000-0005-0000-0000-00002D170000}"/>
    <cellStyle name="Normal 5 2 2 2 2 3 4 3 2" xfId="14475" xr:uid="{AD2DC906-DA38-4707-8F07-F2B540F30FA0}"/>
    <cellStyle name="Normal 5 2 2 2 2 3 4 4" xfId="10257" xr:uid="{774252F1-B00C-4590-BF8E-6AC0D967D51F}"/>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2 2 2" xfId="17033" xr:uid="{A4C29F38-D113-44B1-931A-989168B255BF}"/>
    <cellStyle name="Normal 5 2 2 2 2 3 5 2 3" xfId="12815" xr:uid="{F9641BA7-9DB0-4F49-894B-B0A3AAA234E7}"/>
    <cellStyle name="Normal 5 2 2 2 2 3 5 3" xfId="6438" xr:uid="{00000000-0005-0000-0000-000031170000}"/>
    <cellStyle name="Normal 5 2 2 2 2 3 5 3 2" xfId="14888" xr:uid="{4638613F-475A-41DE-BBBC-90CD6F2C1B53}"/>
    <cellStyle name="Normal 5 2 2 2 2 3 5 4" xfId="10670" xr:uid="{A3E5DA25-74EB-4236-9886-BFBF86890DB8}"/>
    <cellStyle name="Normal 5 2 2 2 2 3 6" xfId="2568" xr:uid="{00000000-0005-0000-0000-000032170000}"/>
    <cellStyle name="Normal 5 2 2 2 2 3 6 2" xfId="6851" xr:uid="{00000000-0005-0000-0000-000033170000}"/>
    <cellStyle name="Normal 5 2 2 2 2 3 6 2 2" xfId="15301" xr:uid="{D7616F87-1DD7-4F47-B85A-D2D4186AD3BD}"/>
    <cellStyle name="Normal 5 2 2 2 2 3 6 3" xfId="11083" xr:uid="{B66DD434-13A5-424C-8557-0A7A50954C28}"/>
    <cellStyle name="Normal 5 2 2 2 2 3 7" xfId="4786" xr:uid="{00000000-0005-0000-0000-000034170000}"/>
    <cellStyle name="Normal 5 2 2 2 2 3 7 2" xfId="13236" xr:uid="{2B598287-79BC-47EB-914C-4AAEAC7A7CB9}"/>
    <cellStyle name="Normal 5 2 2 2 2 3 8" xfId="9018" xr:uid="{7C176155-7E79-4E72-ABB4-53152F338C99}"/>
    <cellStyle name="Normal 5 2 2 2 2 4" xfId="884" xr:uid="{00000000-0005-0000-0000-000035170000}"/>
    <cellStyle name="Normal 5 2 2 2 2 4 2" xfId="3119" xr:uid="{00000000-0005-0000-0000-000036170000}"/>
    <cellStyle name="Normal 5 2 2 2 2 4 2 2" xfId="7341" xr:uid="{00000000-0005-0000-0000-000037170000}"/>
    <cellStyle name="Normal 5 2 2 2 2 4 2 2 2" xfId="15791" xr:uid="{F9860B2D-67F6-4887-B9D1-5F962739158C}"/>
    <cellStyle name="Normal 5 2 2 2 2 4 2 3" xfId="11573" xr:uid="{5BB0DEB6-B392-48A0-9DFA-404F7A9FA642}"/>
    <cellStyle name="Normal 5 2 2 2 2 4 3" xfId="5196" xr:uid="{00000000-0005-0000-0000-000038170000}"/>
    <cellStyle name="Normal 5 2 2 2 2 4 3 2" xfId="13646" xr:uid="{65600D5F-3494-4B79-85E1-0B7050EC0EF0}"/>
    <cellStyle name="Normal 5 2 2 2 2 4 4" xfId="9428" xr:uid="{5505E88F-6F05-491B-82BB-F4649617270B}"/>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2 2 2" xfId="16204" xr:uid="{C448F30E-7265-4B84-A7D1-B0F6FCBAD92F}"/>
    <cellStyle name="Normal 5 2 2 2 2 5 2 3" xfId="11986" xr:uid="{CC55AFD4-3F91-42A4-A37D-AE68FE220540}"/>
    <cellStyle name="Normal 5 2 2 2 2 5 3" xfId="5609" xr:uid="{00000000-0005-0000-0000-00003C170000}"/>
    <cellStyle name="Normal 5 2 2 2 2 5 3 2" xfId="14059" xr:uid="{B12B1390-A0F6-45BE-B08B-965D67134679}"/>
    <cellStyle name="Normal 5 2 2 2 2 5 4" xfId="9841" xr:uid="{BCEBF3AC-9BBE-4F6C-9DBA-BF1B5431AA55}"/>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2 2 2" xfId="16617" xr:uid="{0768E0FF-89AF-45D8-B6FD-B6CFCAF7420B}"/>
    <cellStyle name="Normal 5 2 2 2 2 6 2 3" xfId="12399" xr:uid="{BB102DE9-A6A2-4315-A6E5-E65E2BC81CEF}"/>
    <cellStyle name="Normal 5 2 2 2 2 6 3" xfId="6022" xr:uid="{00000000-0005-0000-0000-000040170000}"/>
    <cellStyle name="Normal 5 2 2 2 2 6 3 2" xfId="14472" xr:uid="{A8F6197F-EED7-450A-B979-DFFDE2C2F8AD}"/>
    <cellStyle name="Normal 5 2 2 2 2 6 4" xfId="10254" xr:uid="{88C5163E-E5FB-462C-B830-5830484AD849}"/>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2 2 2" xfId="17030" xr:uid="{DFC87FBF-CD28-405D-85A9-A6B131BC5017}"/>
    <cellStyle name="Normal 5 2 2 2 2 7 2 3" xfId="12812" xr:uid="{ACE9F19A-1ACC-41C3-AB4E-5E8A5AC43808}"/>
    <cellStyle name="Normal 5 2 2 2 2 7 3" xfId="6435" xr:uid="{00000000-0005-0000-0000-000044170000}"/>
    <cellStyle name="Normal 5 2 2 2 2 7 3 2" xfId="14885" xr:uid="{40591060-6D4D-4B97-9865-829AC69628FB}"/>
    <cellStyle name="Normal 5 2 2 2 2 7 4" xfId="10667" xr:uid="{AB872A1E-E9AD-44A1-8F6B-28F3F80E6016}"/>
    <cellStyle name="Normal 5 2 2 2 2 8" xfId="2565" xr:uid="{00000000-0005-0000-0000-000045170000}"/>
    <cellStyle name="Normal 5 2 2 2 2 8 2" xfId="6848" xr:uid="{00000000-0005-0000-0000-000046170000}"/>
    <cellStyle name="Normal 5 2 2 2 2 8 2 2" xfId="15298" xr:uid="{B51DE84D-FBA3-4906-A52B-37033826BECB}"/>
    <cellStyle name="Normal 5 2 2 2 2 8 3" xfId="11080" xr:uid="{EC8B4EB8-7F49-4D33-BEB4-E27453046E9C}"/>
    <cellStyle name="Normal 5 2 2 2 2 9" xfId="4783" xr:uid="{00000000-0005-0000-0000-000047170000}"/>
    <cellStyle name="Normal 5 2 2 2 2 9 2" xfId="13233" xr:uid="{1E80E58F-ACCF-4882-8CE7-9C4E5FD838F8}"/>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2 2 2" xfId="15796" xr:uid="{353C6271-9E55-4B4A-8DC7-A3472C6A6520}"/>
    <cellStyle name="Normal 5 2 2 2 3 2 2 2 3" xfId="11578" xr:uid="{7721FD8C-8ECC-4A92-9E82-52034A3BE12E}"/>
    <cellStyle name="Normal 5 2 2 2 3 2 2 3" xfId="5201" xr:uid="{00000000-0005-0000-0000-00004D170000}"/>
    <cellStyle name="Normal 5 2 2 2 3 2 2 3 2" xfId="13651" xr:uid="{B8BE4579-43FC-4AD6-ACA8-5445B0D055DE}"/>
    <cellStyle name="Normal 5 2 2 2 3 2 2 4" xfId="9433" xr:uid="{3EAA45F5-F356-402A-901B-638DBBE73981}"/>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2 2 2" xfId="16209" xr:uid="{23E9F206-B2AF-4D5E-A4C1-37EACAB6B017}"/>
    <cellStyle name="Normal 5 2 2 2 3 2 3 2 3" xfId="11991" xr:uid="{DE7EBF64-C9A3-49B6-9F87-A72B1CF96971}"/>
    <cellStyle name="Normal 5 2 2 2 3 2 3 3" xfId="5614" xr:uid="{00000000-0005-0000-0000-000051170000}"/>
    <cellStyle name="Normal 5 2 2 2 3 2 3 3 2" xfId="14064" xr:uid="{69E4533C-A619-4B04-99CC-7B2E44A4AA3A}"/>
    <cellStyle name="Normal 5 2 2 2 3 2 3 4" xfId="9846" xr:uid="{4EF11F4B-7AF0-42DE-80D8-52A115A914FC}"/>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2 2 2" xfId="16622" xr:uid="{2BD91429-EAA9-4408-9A65-4228E6AC77C9}"/>
    <cellStyle name="Normal 5 2 2 2 3 2 4 2 3" xfId="12404" xr:uid="{915F8489-2212-4FF2-A177-59AE25067200}"/>
    <cellStyle name="Normal 5 2 2 2 3 2 4 3" xfId="6027" xr:uid="{00000000-0005-0000-0000-000055170000}"/>
    <cellStyle name="Normal 5 2 2 2 3 2 4 3 2" xfId="14477" xr:uid="{891882B6-B44D-4B76-8EA9-04650FFCE27F}"/>
    <cellStyle name="Normal 5 2 2 2 3 2 4 4" xfId="10259" xr:uid="{6C92B86B-C2EC-494C-AE1C-61E16622D609}"/>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2 2 2" xfId="17035" xr:uid="{5C696B2D-0836-4660-B258-73622D27F87A}"/>
    <cellStyle name="Normal 5 2 2 2 3 2 5 2 3" xfId="12817" xr:uid="{BBCE10D7-BFC0-4592-9065-DA0FF8D89F26}"/>
    <cellStyle name="Normal 5 2 2 2 3 2 5 3" xfId="6440" xr:uid="{00000000-0005-0000-0000-000059170000}"/>
    <cellStyle name="Normal 5 2 2 2 3 2 5 3 2" xfId="14890" xr:uid="{88304999-F745-45CF-9453-8BECDEA6107B}"/>
    <cellStyle name="Normal 5 2 2 2 3 2 5 4" xfId="10672" xr:uid="{220765F6-A473-4929-BCC2-B2C1753BC900}"/>
    <cellStyle name="Normal 5 2 2 2 3 2 6" xfId="2570" xr:uid="{00000000-0005-0000-0000-00005A170000}"/>
    <cellStyle name="Normal 5 2 2 2 3 2 6 2" xfId="6853" xr:uid="{00000000-0005-0000-0000-00005B170000}"/>
    <cellStyle name="Normal 5 2 2 2 3 2 6 2 2" xfId="15303" xr:uid="{2E0E2D86-A9ED-4D6B-B718-3821D7923E49}"/>
    <cellStyle name="Normal 5 2 2 2 3 2 6 3" xfId="11085" xr:uid="{F128746A-7AA1-448D-84FB-456FAA772D2B}"/>
    <cellStyle name="Normal 5 2 2 2 3 2 7" xfId="4788" xr:uid="{00000000-0005-0000-0000-00005C170000}"/>
    <cellStyle name="Normal 5 2 2 2 3 2 7 2" xfId="13238" xr:uid="{C8349A66-1D7A-4559-A22A-0A6C6D5C7BF7}"/>
    <cellStyle name="Normal 5 2 2 2 3 2 8" xfId="9020" xr:uid="{05201795-4A66-4433-923C-836224462E34}"/>
    <cellStyle name="Normal 5 2 2 2 3 3" xfId="888" xr:uid="{00000000-0005-0000-0000-00005D170000}"/>
    <cellStyle name="Normal 5 2 2 2 3 3 2" xfId="3123" xr:uid="{00000000-0005-0000-0000-00005E170000}"/>
    <cellStyle name="Normal 5 2 2 2 3 3 2 2" xfId="7345" xr:uid="{00000000-0005-0000-0000-00005F170000}"/>
    <cellStyle name="Normal 5 2 2 2 3 3 2 2 2" xfId="15795" xr:uid="{C418F987-309F-47FA-95DA-C5BEC8561CD3}"/>
    <cellStyle name="Normal 5 2 2 2 3 3 2 3" xfId="11577" xr:uid="{B40C131C-7C11-420E-AE1D-EA75CCD2FFC4}"/>
    <cellStyle name="Normal 5 2 2 2 3 3 3" xfId="5200" xr:uid="{00000000-0005-0000-0000-000060170000}"/>
    <cellStyle name="Normal 5 2 2 2 3 3 3 2" xfId="13650" xr:uid="{A859FAC1-7D4D-4C8A-AD80-B45630385897}"/>
    <cellStyle name="Normal 5 2 2 2 3 3 4" xfId="9432" xr:uid="{4365B268-06B0-4AA8-8DE5-0C2B5CAB2C93}"/>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2 2 2" xfId="16208" xr:uid="{771484DB-8D51-4A95-A056-FE65FB664791}"/>
    <cellStyle name="Normal 5 2 2 2 3 4 2 3" xfId="11990" xr:uid="{40CA41E2-DF9F-447C-864B-E26A1E6C62DD}"/>
    <cellStyle name="Normal 5 2 2 2 3 4 3" xfId="5613" xr:uid="{00000000-0005-0000-0000-000064170000}"/>
    <cellStyle name="Normal 5 2 2 2 3 4 3 2" xfId="14063" xr:uid="{4E52CC4C-7120-4CC6-8199-B41F2D321F32}"/>
    <cellStyle name="Normal 5 2 2 2 3 4 4" xfId="9845" xr:uid="{BE19A001-CCA4-4FBF-87FE-B2C0F71AEE9D}"/>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2 2 2" xfId="16621" xr:uid="{0C78A8CE-2085-45C1-85F6-C01BDDF3E6C1}"/>
    <cellStyle name="Normal 5 2 2 2 3 5 2 3" xfId="12403" xr:uid="{598BED1A-8190-48DC-8994-EEFAEC9CDDA1}"/>
    <cellStyle name="Normal 5 2 2 2 3 5 3" xfId="6026" xr:uid="{00000000-0005-0000-0000-000068170000}"/>
    <cellStyle name="Normal 5 2 2 2 3 5 3 2" xfId="14476" xr:uid="{D78F3747-32D8-4A8D-B5A4-8EFE6569DCF8}"/>
    <cellStyle name="Normal 5 2 2 2 3 5 4" xfId="10258" xr:uid="{F3B72F5E-8B24-4B77-80E3-2FAFA14C8316}"/>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2 2 2" xfId="17034" xr:uid="{05DEFE58-30C4-49EA-967E-88AAFBB4E6C2}"/>
    <cellStyle name="Normal 5 2 2 2 3 6 2 3" xfId="12816" xr:uid="{9BD75B41-CE24-44DD-89C7-CD0DFE0B8BBE}"/>
    <cellStyle name="Normal 5 2 2 2 3 6 3" xfId="6439" xr:uid="{00000000-0005-0000-0000-00006C170000}"/>
    <cellStyle name="Normal 5 2 2 2 3 6 3 2" xfId="14889" xr:uid="{36CADAAC-F35B-4F39-B656-1220F806EEE5}"/>
    <cellStyle name="Normal 5 2 2 2 3 6 4" xfId="10671" xr:uid="{431C3F4B-4741-4CBB-8D8D-23928B79ABC8}"/>
    <cellStyle name="Normal 5 2 2 2 3 7" xfId="2569" xr:uid="{00000000-0005-0000-0000-00006D170000}"/>
    <cellStyle name="Normal 5 2 2 2 3 7 2" xfId="6852" xr:uid="{00000000-0005-0000-0000-00006E170000}"/>
    <cellStyle name="Normal 5 2 2 2 3 7 2 2" xfId="15302" xr:uid="{A57F7719-27D0-4C35-AEA0-8E1DB57E16CD}"/>
    <cellStyle name="Normal 5 2 2 2 3 7 3" xfId="11084" xr:uid="{97D5EC24-CF2E-49D4-9FA3-3C48F2D4CE9D}"/>
    <cellStyle name="Normal 5 2 2 2 3 8" xfId="4787" xr:uid="{00000000-0005-0000-0000-00006F170000}"/>
    <cellStyle name="Normal 5 2 2 2 3 8 2" xfId="13237" xr:uid="{B696D36E-6084-43D3-A36E-8EF59462EEF1}"/>
    <cellStyle name="Normal 5 2 2 2 3 9" xfId="9019" xr:uid="{05DF63DA-74B6-4B55-B07B-1AF9BEC27A29}"/>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2 2 2" xfId="15797" xr:uid="{457FB589-DDF6-4496-A393-D01937BB7CFE}"/>
    <cellStyle name="Normal 5 2 2 2 4 2 2 3" xfId="11579" xr:uid="{8B8AF9C0-6FA9-4450-8E36-E338820BE1BA}"/>
    <cellStyle name="Normal 5 2 2 2 4 2 3" xfId="5202" xr:uid="{00000000-0005-0000-0000-000074170000}"/>
    <cellStyle name="Normal 5 2 2 2 4 2 3 2" xfId="13652" xr:uid="{2308D38E-703E-4668-B36B-CA50EDEBB48B}"/>
    <cellStyle name="Normal 5 2 2 2 4 2 4" xfId="9434" xr:uid="{490009ED-BB0E-4579-B154-ECDA7171699D}"/>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2 2 2" xfId="16210" xr:uid="{823C0428-6C1C-4AFE-A352-EC74C4C9C190}"/>
    <cellStyle name="Normal 5 2 2 2 4 3 2 3" xfId="11992" xr:uid="{62328CCB-683C-4C5B-82A1-6F29C297552F}"/>
    <cellStyle name="Normal 5 2 2 2 4 3 3" xfId="5615" xr:uid="{00000000-0005-0000-0000-000078170000}"/>
    <cellStyle name="Normal 5 2 2 2 4 3 3 2" xfId="14065" xr:uid="{A9D64B88-AB0A-49FC-957A-C9D1E1E22567}"/>
    <cellStyle name="Normal 5 2 2 2 4 3 4" xfId="9847" xr:uid="{94F48428-2520-4FD4-8B42-0ED441EDEBF5}"/>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2 2 2" xfId="16623" xr:uid="{CCEA3512-3EF5-4EB7-97E5-E3DE8911FA57}"/>
    <cellStyle name="Normal 5 2 2 2 4 4 2 3" xfId="12405" xr:uid="{9F6DBCC6-3047-4226-802D-FA69FACDA840}"/>
    <cellStyle name="Normal 5 2 2 2 4 4 3" xfId="6028" xr:uid="{00000000-0005-0000-0000-00007C170000}"/>
    <cellStyle name="Normal 5 2 2 2 4 4 3 2" xfId="14478" xr:uid="{6172D397-5508-4445-8D72-8E3FFE30C3C9}"/>
    <cellStyle name="Normal 5 2 2 2 4 4 4" xfId="10260" xr:uid="{41051383-EE28-4106-B3BA-D168AB642CB7}"/>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2 2 2" xfId="17036" xr:uid="{776FA01F-1AFF-46A2-BEEA-03B01298407A}"/>
    <cellStyle name="Normal 5 2 2 2 4 5 2 3" xfId="12818" xr:uid="{5C67C3F1-8235-4373-A2C8-2F26B52E8C34}"/>
    <cellStyle name="Normal 5 2 2 2 4 5 3" xfId="6441" xr:uid="{00000000-0005-0000-0000-000080170000}"/>
    <cellStyle name="Normal 5 2 2 2 4 5 3 2" xfId="14891" xr:uid="{42B4F5E0-238B-44D4-837A-0FB556A29FC8}"/>
    <cellStyle name="Normal 5 2 2 2 4 5 4" xfId="10673" xr:uid="{BC6383B8-DFF0-41AB-AC76-4C99561CB059}"/>
    <cellStyle name="Normal 5 2 2 2 4 6" xfId="2571" xr:uid="{00000000-0005-0000-0000-000081170000}"/>
    <cellStyle name="Normal 5 2 2 2 4 6 2" xfId="6854" xr:uid="{00000000-0005-0000-0000-000082170000}"/>
    <cellStyle name="Normal 5 2 2 2 4 6 2 2" xfId="15304" xr:uid="{61611EFB-80F2-45E7-BF05-0E73FE2CA947}"/>
    <cellStyle name="Normal 5 2 2 2 4 6 3" xfId="11086" xr:uid="{8786D2FB-A1DE-41D2-8769-31FF330956E9}"/>
    <cellStyle name="Normal 5 2 2 2 4 7" xfId="4789" xr:uid="{00000000-0005-0000-0000-000083170000}"/>
    <cellStyle name="Normal 5 2 2 2 4 7 2" xfId="13239" xr:uid="{5D5BA4C8-44B2-4622-852E-5B14A25AC3B5}"/>
    <cellStyle name="Normal 5 2 2 2 4 8" xfId="9021" xr:uid="{A39C719D-BCA0-4121-90E0-360AC0053D48}"/>
    <cellStyle name="Normal 5 2 2 2 5" xfId="883" xr:uid="{00000000-0005-0000-0000-000084170000}"/>
    <cellStyle name="Normal 5 2 2 2 5 2" xfId="3118" xr:uid="{00000000-0005-0000-0000-000085170000}"/>
    <cellStyle name="Normal 5 2 2 2 5 2 2" xfId="7340" xr:uid="{00000000-0005-0000-0000-000086170000}"/>
    <cellStyle name="Normal 5 2 2 2 5 2 2 2" xfId="15790" xr:uid="{AD18C9A8-0687-4016-963B-74C0D201CA6B}"/>
    <cellStyle name="Normal 5 2 2 2 5 2 3" xfId="11572" xr:uid="{8425D80B-F06F-46A9-BC6A-DD587151499B}"/>
    <cellStyle name="Normal 5 2 2 2 5 3" xfId="5195" xr:uid="{00000000-0005-0000-0000-000087170000}"/>
    <cellStyle name="Normal 5 2 2 2 5 3 2" xfId="13645" xr:uid="{C8B4A26F-26D6-4079-9C98-55451F142FD3}"/>
    <cellStyle name="Normal 5 2 2 2 5 4" xfId="9427" xr:uid="{7255F5B7-C862-48A1-9F5B-ADA4A64A5BA9}"/>
    <cellStyle name="Normal 5 2 2 2 6" xfId="1301" xr:uid="{00000000-0005-0000-0000-000088170000}"/>
    <cellStyle name="Normal 5 2 2 2 6 2" xfId="3531" xr:uid="{00000000-0005-0000-0000-000089170000}"/>
    <cellStyle name="Normal 5 2 2 2 6 2 2" xfId="7753" xr:uid="{00000000-0005-0000-0000-00008A170000}"/>
    <cellStyle name="Normal 5 2 2 2 6 2 2 2" xfId="16203" xr:uid="{122D63EC-2E28-43D5-B531-EEB0E1ACC3F5}"/>
    <cellStyle name="Normal 5 2 2 2 6 2 3" xfId="11985" xr:uid="{5A393DBE-AE4F-4D85-B390-0ECB9AF9F5FA}"/>
    <cellStyle name="Normal 5 2 2 2 6 3" xfId="5608" xr:uid="{00000000-0005-0000-0000-00008B170000}"/>
    <cellStyle name="Normal 5 2 2 2 6 3 2" xfId="14058" xr:uid="{5F879607-48D9-4CC7-B8AB-60FB8BC4A3F5}"/>
    <cellStyle name="Normal 5 2 2 2 6 4" xfId="9840" xr:uid="{AB40F60B-F644-4C10-9987-98F640EE1FE1}"/>
    <cellStyle name="Normal 5 2 2 2 7" xfId="1714" xr:uid="{00000000-0005-0000-0000-00008C170000}"/>
    <cellStyle name="Normal 5 2 2 2 7 2" xfId="3944" xr:uid="{00000000-0005-0000-0000-00008D170000}"/>
    <cellStyle name="Normal 5 2 2 2 7 2 2" xfId="8166" xr:uid="{00000000-0005-0000-0000-00008E170000}"/>
    <cellStyle name="Normal 5 2 2 2 7 2 2 2" xfId="16616" xr:uid="{59F27D38-E69B-4775-BAFF-0B779AA83418}"/>
    <cellStyle name="Normal 5 2 2 2 7 2 3" xfId="12398" xr:uid="{6421668F-C33C-43A8-B02B-6E981D883031}"/>
    <cellStyle name="Normal 5 2 2 2 7 3" xfId="6021" xr:uid="{00000000-0005-0000-0000-00008F170000}"/>
    <cellStyle name="Normal 5 2 2 2 7 3 2" xfId="14471" xr:uid="{03EBC194-DCF1-497A-98BD-FCD04B677070}"/>
    <cellStyle name="Normal 5 2 2 2 7 4" xfId="10253" xr:uid="{CBA04811-100E-4839-A26C-D2500E8E4616}"/>
    <cellStyle name="Normal 5 2 2 2 8" xfId="2128" xr:uid="{00000000-0005-0000-0000-000090170000}"/>
    <cellStyle name="Normal 5 2 2 2 8 2" xfId="4357" xr:uid="{00000000-0005-0000-0000-000091170000}"/>
    <cellStyle name="Normal 5 2 2 2 8 2 2" xfId="8579" xr:uid="{00000000-0005-0000-0000-000092170000}"/>
    <cellStyle name="Normal 5 2 2 2 8 2 2 2" xfId="17029" xr:uid="{C56D4016-4636-433A-AE53-757E79D3B427}"/>
    <cellStyle name="Normal 5 2 2 2 8 2 3" xfId="12811" xr:uid="{24874DC9-3F0D-498F-BBDF-30B979755223}"/>
    <cellStyle name="Normal 5 2 2 2 8 3" xfId="6434" xr:uid="{00000000-0005-0000-0000-000093170000}"/>
    <cellStyle name="Normal 5 2 2 2 8 3 2" xfId="14884" xr:uid="{F723F6FC-F239-4CA6-B7E4-0C36680FD7EB}"/>
    <cellStyle name="Normal 5 2 2 2 8 4" xfId="10666" xr:uid="{62BBEDD1-4C3A-4023-83B2-04F5B96B429F}"/>
    <cellStyle name="Normal 5 2 2 2 9" xfId="2564" xr:uid="{00000000-0005-0000-0000-000094170000}"/>
    <cellStyle name="Normal 5 2 2 2 9 2" xfId="6847" xr:uid="{00000000-0005-0000-0000-000095170000}"/>
    <cellStyle name="Normal 5 2 2 2 9 2 2" xfId="15297" xr:uid="{55DB1A37-B903-4BB6-BC97-D7AAB38A763C}"/>
    <cellStyle name="Normal 5 2 2 2 9 3" xfId="11079" xr:uid="{7EBFAC71-7FAE-4AD4-BD3D-221AC6057E7B}"/>
    <cellStyle name="Normal 5 2 2 3" xfId="417" xr:uid="{00000000-0005-0000-0000-000096170000}"/>
    <cellStyle name="Normal 5 2 2 3 10" xfId="9022" xr:uid="{B3A05C74-1509-416E-8AB3-535A2F7AEBEB}"/>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2 2 2" xfId="15800" xr:uid="{AF977CE5-A702-4047-BECD-5CB0376BE93B}"/>
    <cellStyle name="Normal 5 2 2 3 2 2 2 2 3" xfId="11582" xr:uid="{AB0B5BF7-497A-47D3-9CC4-C7624556B33C}"/>
    <cellStyle name="Normal 5 2 2 3 2 2 2 3" xfId="5205" xr:uid="{00000000-0005-0000-0000-00009C170000}"/>
    <cellStyle name="Normal 5 2 2 3 2 2 2 3 2" xfId="13655" xr:uid="{DA5A2535-DDCF-4D59-A899-19100466306A}"/>
    <cellStyle name="Normal 5 2 2 3 2 2 2 4" xfId="9437" xr:uid="{391B4619-E486-4BB8-AC38-73DED128EDD6}"/>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2 2 2" xfId="16213" xr:uid="{CF56C1AE-5691-45BE-8431-4FF8904D8829}"/>
    <cellStyle name="Normal 5 2 2 3 2 2 3 2 3" xfId="11995" xr:uid="{FD499B32-1A95-4EEA-BE56-B1539189CF1F}"/>
    <cellStyle name="Normal 5 2 2 3 2 2 3 3" xfId="5618" xr:uid="{00000000-0005-0000-0000-0000A0170000}"/>
    <cellStyle name="Normal 5 2 2 3 2 2 3 3 2" xfId="14068" xr:uid="{F02CA748-5CB3-46A6-8B37-7430FA2370D8}"/>
    <cellStyle name="Normal 5 2 2 3 2 2 3 4" xfId="9850" xr:uid="{C4F17849-AE59-4D9B-B965-2CA32CD7D2A4}"/>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2 2 2" xfId="16626" xr:uid="{2C9B18AF-84A6-4304-9450-E68E2CC9BDEA}"/>
    <cellStyle name="Normal 5 2 2 3 2 2 4 2 3" xfId="12408" xr:uid="{FBFDEC37-E9F3-40F3-9642-DE00291B2C21}"/>
    <cellStyle name="Normal 5 2 2 3 2 2 4 3" xfId="6031" xr:uid="{00000000-0005-0000-0000-0000A4170000}"/>
    <cellStyle name="Normal 5 2 2 3 2 2 4 3 2" xfId="14481" xr:uid="{759EA43A-6891-4E4F-9D6D-3756697DB8D1}"/>
    <cellStyle name="Normal 5 2 2 3 2 2 4 4" xfId="10263" xr:uid="{C284FF6C-6EC3-443D-86A3-80D48687A727}"/>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2 2 2" xfId="17039" xr:uid="{8A73E240-65FB-412B-929B-FAED0D29CC80}"/>
    <cellStyle name="Normal 5 2 2 3 2 2 5 2 3" xfId="12821" xr:uid="{41B3C74C-8340-4EC0-B7F8-C029D1B664EC}"/>
    <cellStyle name="Normal 5 2 2 3 2 2 5 3" xfId="6444" xr:uid="{00000000-0005-0000-0000-0000A8170000}"/>
    <cellStyle name="Normal 5 2 2 3 2 2 5 3 2" xfId="14894" xr:uid="{CA079DE5-8B61-4ECF-9623-61FBB92815CA}"/>
    <cellStyle name="Normal 5 2 2 3 2 2 5 4" xfId="10676" xr:uid="{AE40686B-D8CE-4EB7-ABC3-540CD173F5FA}"/>
    <cellStyle name="Normal 5 2 2 3 2 2 6" xfId="2574" xr:uid="{00000000-0005-0000-0000-0000A9170000}"/>
    <cellStyle name="Normal 5 2 2 3 2 2 6 2" xfId="6857" xr:uid="{00000000-0005-0000-0000-0000AA170000}"/>
    <cellStyle name="Normal 5 2 2 3 2 2 6 2 2" xfId="15307" xr:uid="{C305B015-5DC9-4587-9608-BFD1E1DBA6C5}"/>
    <cellStyle name="Normal 5 2 2 3 2 2 6 3" xfId="11089" xr:uid="{34EEE61B-19C8-4A14-A264-8405580876E2}"/>
    <cellStyle name="Normal 5 2 2 3 2 2 7" xfId="4792" xr:uid="{00000000-0005-0000-0000-0000AB170000}"/>
    <cellStyle name="Normal 5 2 2 3 2 2 7 2" xfId="13242" xr:uid="{84A1F3D4-890D-4FFE-8584-29593091259E}"/>
    <cellStyle name="Normal 5 2 2 3 2 2 8" xfId="9024" xr:uid="{F780948E-2702-4B62-BDEF-779A65642EFE}"/>
    <cellStyle name="Normal 5 2 2 3 2 3" xfId="892" xr:uid="{00000000-0005-0000-0000-0000AC170000}"/>
    <cellStyle name="Normal 5 2 2 3 2 3 2" xfId="3127" xr:uid="{00000000-0005-0000-0000-0000AD170000}"/>
    <cellStyle name="Normal 5 2 2 3 2 3 2 2" xfId="7349" xr:uid="{00000000-0005-0000-0000-0000AE170000}"/>
    <cellStyle name="Normal 5 2 2 3 2 3 2 2 2" xfId="15799" xr:uid="{78FC96C4-E17C-423F-A2B4-A6F7A1EAF704}"/>
    <cellStyle name="Normal 5 2 2 3 2 3 2 3" xfId="11581" xr:uid="{79A7234B-C2CA-44F5-B67A-4B6CD0ABC6EC}"/>
    <cellStyle name="Normal 5 2 2 3 2 3 3" xfId="5204" xr:uid="{00000000-0005-0000-0000-0000AF170000}"/>
    <cellStyle name="Normal 5 2 2 3 2 3 3 2" xfId="13654" xr:uid="{8F735029-B892-4847-AF51-F3FA17F16C6B}"/>
    <cellStyle name="Normal 5 2 2 3 2 3 4" xfId="9436" xr:uid="{3920A636-8F8C-4768-BADC-2E142CE7F4E1}"/>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2 2 2" xfId="16212" xr:uid="{23BEB10F-5E2D-429D-83A2-175FFC4AAD0A}"/>
    <cellStyle name="Normal 5 2 2 3 2 4 2 3" xfId="11994" xr:uid="{B08947A7-32EF-4078-B223-97E098752E47}"/>
    <cellStyle name="Normal 5 2 2 3 2 4 3" xfId="5617" xr:uid="{00000000-0005-0000-0000-0000B3170000}"/>
    <cellStyle name="Normal 5 2 2 3 2 4 3 2" xfId="14067" xr:uid="{CB12554D-FEB7-4867-B725-63AC16EC9667}"/>
    <cellStyle name="Normal 5 2 2 3 2 4 4" xfId="9849" xr:uid="{2141C880-9F85-4607-BB7A-445CDFBE6ED9}"/>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2 2 2" xfId="16625" xr:uid="{7C145E4C-C209-4369-B3E4-D326BB7B9ECD}"/>
    <cellStyle name="Normal 5 2 2 3 2 5 2 3" xfId="12407" xr:uid="{7828B92F-9F0F-4FF8-AB93-78B8B4633D75}"/>
    <cellStyle name="Normal 5 2 2 3 2 5 3" xfId="6030" xr:uid="{00000000-0005-0000-0000-0000B7170000}"/>
    <cellStyle name="Normal 5 2 2 3 2 5 3 2" xfId="14480" xr:uid="{319569FC-B2CF-4C38-A09C-2EA4AE03DF57}"/>
    <cellStyle name="Normal 5 2 2 3 2 5 4" xfId="10262" xr:uid="{2CEC8ACC-0FD0-47AE-8A62-8748C3143C1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2 2 2" xfId="17038" xr:uid="{F54AB009-682E-4974-8A30-992F42D4F028}"/>
    <cellStyle name="Normal 5 2 2 3 2 6 2 3" xfId="12820" xr:uid="{E38483D6-E4B3-4BD6-B26D-5DE92D8BBF18}"/>
    <cellStyle name="Normal 5 2 2 3 2 6 3" xfId="6443" xr:uid="{00000000-0005-0000-0000-0000BB170000}"/>
    <cellStyle name="Normal 5 2 2 3 2 6 3 2" xfId="14893" xr:uid="{4873FCA9-1146-411C-99DA-74313C27E279}"/>
    <cellStyle name="Normal 5 2 2 3 2 6 4" xfId="10675" xr:uid="{225E9669-0E87-4D27-B70B-ED9E4A7B7511}"/>
    <cellStyle name="Normal 5 2 2 3 2 7" xfId="2573" xr:uid="{00000000-0005-0000-0000-0000BC170000}"/>
    <cellStyle name="Normal 5 2 2 3 2 7 2" xfId="6856" xr:uid="{00000000-0005-0000-0000-0000BD170000}"/>
    <cellStyle name="Normal 5 2 2 3 2 7 2 2" xfId="15306" xr:uid="{F7A49008-8066-4218-BF86-35623CA6AD2C}"/>
    <cellStyle name="Normal 5 2 2 3 2 7 3" xfId="11088" xr:uid="{9A3A2333-12C9-4B0D-8706-0D138E3B0395}"/>
    <cellStyle name="Normal 5 2 2 3 2 8" xfId="4791" xr:uid="{00000000-0005-0000-0000-0000BE170000}"/>
    <cellStyle name="Normal 5 2 2 3 2 8 2" xfId="13241" xr:uid="{26CD38E4-853E-4206-A483-49EA1F216EE1}"/>
    <cellStyle name="Normal 5 2 2 3 2 9" xfId="9023" xr:uid="{3259E9EC-7A40-4367-8C7F-B14C4C143568}"/>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2 2 2" xfId="15801" xr:uid="{CC36E4B3-49DF-480C-A643-96C04CEC2C57}"/>
    <cellStyle name="Normal 5 2 2 3 3 2 2 3" xfId="11583" xr:uid="{AD58697C-3A7C-4702-BEFE-DC22F573A80F}"/>
    <cellStyle name="Normal 5 2 2 3 3 2 3" xfId="5206" xr:uid="{00000000-0005-0000-0000-0000C3170000}"/>
    <cellStyle name="Normal 5 2 2 3 3 2 3 2" xfId="13656" xr:uid="{FFAC87D2-15AA-4EC2-A0B9-ECFA6676511A}"/>
    <cellStyle name="Normal 5 2 2 3 3 2 4" xfId="9438" xr:uid="{A4F26E69-494C-487D-BFED-F20EF4A3718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2 2 2" xfId="16214" xr:uid="{F600695C-4A84-4CA7-A862-D6461D3BB1A0}"/>
    <cellStyle name="Normal 5 2 2 3 3 3 2 3" xfId="11996" xr:uid="{CCA0DEB9-4778-4971-8600-76EF7A61BEB5}"/>
    <cellStyle name="Normal 5 2 2 3 3 3 3" xfId="5619" xr:uid="{00000000-0005-0000-0000-0000C7170000}"/>
    <cellStyle name="Normal 5 2 2 3 3 3 3 2" xfId="14069" xr:uid="{4ECAA967-50FB-4180-8976-5B0568E3D2D7}"/>
    <cellStyle name="Normal 5 2 2 3 3 3 4" xfId="9851" xr:uid="{5C19C22C-74DA-4682-A81A-7AAD8ECBE765}"/>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2 2 2" xfId="16627" xr:uid="{EA69FE03-8C38-4762-B02E-409007DB273D}"/>
    <cellStyle name="Normal 5 2 2 3 3 4 2 3" xfId="12409" xr:uid="{FA20365E-FB9B-4251-8E39-ECD0C8089633}"/>
    <cellStyle name="Normal 5 2 2 3 3 4 3" xfId="6032" xr:uid="{00000000-0005-0000-0000-0000CB170000}"/>
    <cellStyle name="Normal 5 2 2 3 3 4 3 2" xfId="14482" xr:uid="{88FAD2EC-9C68-4EC5-BB08-ECFF266B15A9}"/>
    <cellStyle name="Normal 5 2 2 3 3 4 4" xfId="10264" xr:uid="{35318716-6045-4FC9-A5E5-868C84036CBC}"/>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2 2 2" xfId="17040" xr:uid="{B7A913F1-FBFC-4F4E-B56B-468BF0C796EB}"/>
    <cellStyle name="Normal 5 2 2 3 3 5 2 3" xfId="12822" xr:uid="{2A9901AA-39AC-4658-B184-1C0681B98168}"/>
    <cellStyle name="Normal 5 2 2 3 3 5 3" xfId="6445" xr:uid="{00000000-0005-0000-0000-0000CF170000}"/>
    <cellStyle name="Normal 5 2 2 3 3 5 3 2" xfId="14895" xr:uid="{70352C49-6BBF-4020-9C3F-16A1F7D5AAE3}"/>
    <cellStyle name="Normal 5 2 2 3 3 5 4" xfId="10677" xr:uid="{83B5C80D-0EF3-4AC9-A502-C9A7FB797C8F}"/>
    <cellStyle name="Normal 5 2 2 3 3 6" xfId="2575" xr:uid="{00000000-0005-0000-0000-0000D0170000}"/>
    <cellStyle name="Normal 5 2 2 3 3 6 2" xfId="6858" xr:uid="{00000000-0005-0000-0000-0000D1170000}"/>
    <cellStyle name="Normal 5 2 2 3 3 6 2 2" xfId="15308" xr:uid="{A8F5ED80-2E3C-4E2F-A5F9-5B0C11E99E30}"/>
    <cellStyle name="Normal 5 2 2 3 3 6 3" xfId="11090" xr:uid="{97BE7F01-FA43-4855-9AA3-D0C1AADB6A28}"/>
    <cellStyle name="Normal 5 2 2 3 3 7" xfId="4793" xr:uid="{00000000-0005-0000-0000-0000D2170000}"/>
    <cellStyle name="Normal 5 2 2 3 3 7 2" xfId="13243" xr:uid="{58D4719C-419B-4C9D-BBB9-BE1654D9400C}"/>
    <cellStyle name="Normal 5 2 2 3 3 8" xfId="9025" xr:uid="{19D26F4B-FCA7-4AC4-BEB6-83BFE81D73D2}"/>
    <cellStyle name="Normal 5 2 2 3 4" xfId="891" xr:uid="{00000000-0005-0000-0000-0000D3170000}"/>
    <cellStyle name="Normal 5 2 2 3 4 2" xfId="3126" xr:uid="{00000000-0005-0000-0000-0000D4170000}"/>
    <cellStyle name="Normal 5 2 2 3 4 2 2" xfId="7348" xr:uid="{00000000-0005-0000-0000-0000D5170000}"/>
    <cellStyle name="Normal 5 2 2 3 4 2 2 2" xfId="15798" xr:uid="{63CF8DDF-5E24-484C-93D1-CED2C559AD17}"/>
    <cellStyle name="Normal 5 2 2 3 4 2 3" xfId="11580" xr:uid="{3369DA3E-8D02-4CF7-8F67-1B0ACF80633F}"/>
    <cellStyle name="Normal 5 2 2 3 4 3" xfId="5203" xr:uid="{00000000-0005-0000-0000-0000D6170000}"/>
    <cellStyle name="Normal 5 2 2 3 4 3 2" xfId="13653" xr:uid="{EA151686-38F3-4BD9-90D7-F45FFF5C3689}"/>
    <cellStyle name="Normal 5 2 2 3 4 4" xfId="9435" xr:uid="{091505DA-B297-40F8-BCD1-14E393788330}"/>
    <cellStyle name="Normal 5 2 2 3 5" xfId="1309" xr:uid="{00000000-0005-0000-0000-0000D7170000}"/>
    <cellStyle name="Normal 5 2 2 3 5 2" xfId="3539" xr:uid="{00000000-0005-0000-0000-0000D8170000}"/>
    <cellStyle name="Normal 5 2 2 3 5 2 2" xfId="7761" xr:uid="{00000000-0005-0000-0000-0000D9170000}"/>
    <cellStyle name="Normal 5 2 2 3 5 2 2 2" xfId="16211" xr:uid="{5BF8ACC0-329B-408C-A49A-AF215680178B}"/>
    <cellStyle name="Normal 5 2 2 3 5 2 3" xfId="11993" xr:uid="{A0ECA44C-BA3E-4609-85F1-9EE5FA335F73}"/>
    <cellStyle name="Normal 5 2 2 3 5 3" xfId="5616" xr:uid="{00000000-0005-0000-0000-0000DA170000}"/>
    <cellStyle name="Normal 5 2 2 3 5 3 2" xfId="14066" xr:uid="{1769A603-920E-4F35-8B92-A72E6513CE4E}"/>
    <cellStyle name="Normal 5 2 2 3 5 4" xfId="9848" xr:uid="{60548849-6D86-4020-A2C8-7A4D3DFF08F4}"/>
    <cellStyle name="Normal 5 2 2 3 6" xfId="1722" xr:uid="{00000000-0005-0000-0000-0000DB170000}"/>
    <cellStyle name="Normal 5 2 2 3 6 2" xfId="3952" xr:uid="{00000000-0005-0000-0000-0000DC170000}"/>
    <cellStyle name="Normal 5 2 2 3 6 2 2" xfId="8174" xr:uid="{00000000-0005-0000-0000-0000DD170000}"/>
    <cellStyle name="Normal 5 2 2 3 6 2 2 2" xfId="16624" xr:uid="{B1844033-F582-465B-A5E5-93C85B4C4335}"/>
    <cellStyle name="Normal 5 2 2 3 6 2 3" xfId="12406" xr:uid="{26D4FE57-4F1D-42EC-81D7-2B02B623650D}"/>
    <cellStyle name="Normal 5 2 2 3 6 3" xfId="6029" xr:uid="{00000000-0005-0000-0000-0000DE170000}"/>
    <cellStyle name="Normal 5 2 2 3 6 3 2" xfId="14479" xr:uid="{03D2F713-7163-409B-A7F6-A76348337051}"/>
    <cellStyle name="Normal 5 2 2 3 6 4" xfId="10261" xr:uid="{8A9CECD8-4379-410A-A720-8B79C67314ED}"/>
    <cellStyle name="Normal 5 2 2 3 7" xfId="2136" xr:uid="{00000000-0005-0000-0000-0000DF170000}"/>
    <cellStyle name="Normal 5 2 2 3 7 2" xfId="4365" xr:uid="{00000000-0005-0000-0000-0000E0170000}"/>
    <cellStyle name="Normal 5 2 2 3 7 2 2" xfId="8587" xr:uid="{00000000-0005-0000-0000-0000E1170000}"/>
    <cellStyle name="Normal 5 2 2 3 7 2 2 2" xfId="17037" xr:uid="{F26EC0A5-BE2F-4987-9D28-3778DFAF45D6}"/>
    <cellStyle name="Normal 5 2 2 3 7 2 3" xfId="12819" xr:uid="{17D5DDB6-1C59-4417-9FFE-AFAA3F421E01}"/>
    <cellStyle name="Normal 5 2 2 3 7 3" xfId="6442" xr:uid="{00000000-0005-0000-0000-0000E2170000}"/>
    <cellStyle name="Normal 5 2 2 3 7 3 2" xfId="14892" xr:uid="{F0F4DD57-7EDF-484B-BCE2-ED19BC60956A}"/>
    <cellStyle name="Normal 5 2 2 3 7 4" xfId="10674" xr:uid="{E2E0FB57-6A0C-4E83-9A7C-48FE1E496F01}"/>
    <cellStyle name="Normal 5 2 2 3 8" xfId="2572" xr:uid="{00000000-0005-0000-0000-0000E3170000}"/>
    <cellStyle name="Normal 5 2 2 3 8 2" xfId="6855" xr:uid="{00000000-0005-0000-0000-0000E4170000}"/>
    <cellStyle name="Normal 5 2 2 3 8 2 2" xfId="15305" xr:uid="{EB266128-751C-4D16-89D4-97CDF7CF4BFA}"/>
    <cellStyle name="Normal 5 2 2 3 8 3" xfId="11087" xr:uid="{91341D0A-7DE2-4C60-AB61-B24DF607A5F4}"/>
    <cellStyle name="Normal 5 2 2 3 9" xfId="4790" xr:uid="{00000000-0005-0000-0000-0000E5170000}"/>
    <cellStyle name="Normal 5 2 2 3 9 2" xfId="13240" xr:uid="{152DE674-8012-4FF0-A1E4-21BA9F8C94BF}"/>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2 2 2" xfId="15803" xr:uid="{0CB627C4-BBE7-4A50-9DE9-23581FC3DD7B}"/>
    <cellStyle name="Normal 5 2 2 4 2 2 2 3" xfId="11585" xr:uid="{85005D4D-57F0-4918-A958-94F7B1579B7B}"/>
    <cellStyle name="Normal 5 2 2 4 2 2 3" xfId="5208" xr:uid="{00000000-0005-0000-0000-0000EB170000}"/>
    <cellStyle name="Normal 5 2 2 4 2 2 3 2" xfId="13658" xr:uid="{E31955B7-B5BB-4EEB-94AD-90523FAF250F}"/>
    <cellStyle name="Normal 5 2 2 4 2 2 4" xfId="9440" xr:uid="{FDE2FAE1-6B73-4211-98B6-A28AA7F19C36}"/>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2 2 2" xfId="16216" xr:uid="{4D9BF583-23A8-458A-B918-A333F58C1F0A}"/>
    <cellStyle name="Normal 5 2 2 4 2 3 2 3" xfId="11998" xr:uid="{A8698A43-B464-4AE5-8DD6-873F322D7456}"/>
    <cellStyle name="Normal 5 2 2 4 2 3 3" xfId="5621" xr:uid="{00000000-0005-0000-0000-0000EF170000}"/>
    <cellStyle name="Normal 5 2 2 4 2 3 3 2" xfId="14071" xr:uid="{87C9BB40-3ADB-4B3B-A0F1-1D1601BE4A79}"/>
    <cellStyle name="Normal 5 2 2 4 2 3 4" xfId="9853" xr:uid="{1B589387-8C73-4C93-9C3E-7D8F19B44C81}"/>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2 2 2" xfId="16629" xr:uid="{4924CB0E-3B4A-4A03-A70D-A126A4729BA4}"/>
    <cellStyle name="Normal 5 2 2 4 2 4 2 3" xfId="12411" xr:uid="{D66C79C1-8A4A-4C97-B932-8689FF4BFAB8}"/>
    <cellStyle name="Normal 5 2 2 4 2 4 3" xfId="6034" xr:uid="{00000000-0005-0000-0000-0000F3170000}"/>
    <cellStyle name="Normal 5 2 2 4 2 4 3 2" xfId="14484" xr:uid="{6C0E2A8F-A3E1-4656-AAE7-FEB359080947}"/>
    <cellStyle name="Normal 5 2 2 4 2 4 4" xfId="10266" xr:uid="{99B452EB-FBD0-4812-A1D7-FAD833AE2B26}"/>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2 2 2" xfId="17042" xr:uid="{90F26154-AFE7-4F4F-9904-E816A541CD0F}"/>
    <cellStyle name="Normal 5 2 2 4 2 5 2 3" xfId="12824" xr:uid="{86A03BC3-CA0A-40F3-B8A7-7F8BC1D33E74}"/>
    <cellStyle name="Normal 5 2 2 4 2 5 3" xfId="6447" xr:uid="{00000000-0005-0000-0000-0000F7170000}"/>
    <cellStyle name="Normal 5 2 2 4 2 5 3 2" xfId="14897" xr:uid="{F99AE1C8-95E2-4264-964E-DF2F2465C194}"/>
    <cellStyle name="Normal 5 2 2 4 2 5 4" xfId="10679" xr:uid="{54F75FC6-6212-44C5-8E1F-FF0ED79CB539}"/>
    <cellStyle name="Normal 5 2 2 4 2 6" xfId="2577" xr:uid="{00000000-0005-0000-0000-0000F8170000}"/>
    <cellStyle name="Normal 5 2 2 4 2 6 2" xfId="6860" xr:uid="{00000000-0005-0000-0000-0000F9170000}"/>
    <cellStyle name="Normal 5 2 2 4 2 6 2 2" xfId="15310" xr:uid="{3E56D6DD-1091-49CD-8986-8A8B6CB64730}"/>
    <cellStyle name="Normal 5 2 2 4 2 6 3" xfId="11092" xr:uid="{93D71760-1408-4096-B05E-EC30347DCBEC}"/>
    <cellStyle name="Normal 5 2 2 4 2 7" xfId="4795" xr:uid="{00000000-0005-0000-0000-0000FA170000}"/>
    <cellStyle name="Normal 5 2 2 4 2 7 2" xfId="13245" xr:uid="{AC33C630-59DF-4EF9-9A77-6E869D1AB2C7}"/>
    <cellStyle name="Normal 5 2 2 4 2 8" xfId="9027" xr:uid="{7905992B-A0A6-4D83-8D86-B079E1650146}"/>
    <cellStyle name="Normal 5 2 2 4 3" xfId="895" xr:uid="{00000000-0005-0000-0000-0000FB170000}"/>
    <cellStyle name="Normal 5 2 2 4 3 2" xfId="3130" xr:uid="{00000000-0005-0000-0000-0000FC170000}"/>
    <cellStyle name="Normal 5 2 2 4 3 2 2" xfId="7352" xr:uid="{00000000-0005-0000-0000-0000FD170000}"/>
    <cellStyle name="Normal 5 2 2 4 3 2 2 2" xfId="15802" xr:uid="{0C0F40A7-C18F-414E-9813-97033DFBBEBA}"/>
    <cellStyle name="Normal 5 2 2 4 3 2 3" xfId="11584" xr:uid="{056B0942-5157-48F2-AB2B-4BD66532428B}"/>
    <cellStyle name="Normal 5 2 2 4 3 3" xfId="5207" xr:uid="{00000000-0005-0000-0000-0000FE170000}"/>
    <cellStyle name="Normal 5 2 2 4 3 3 2" xfId="13657" xr:uid="{A7C606F1-6E0E-4F04-ABBD-0048D98C663C}"/>
    <cellStyle name="Normal 5 2 2 4 3 4" xfId="9439" xr:uid="{C68CDB96-E6DF-44F0-A880-607522C2BC80}"/>
    <cellStyle name="Normal 5 2 2 4 4" xfId="1313" xr:uid="{00000000-0005-0000-0000-0000FF170000}"/>
    <cellStyle name="Normal 5 2 2 4 4 2" xfId="3543" xr:uid="{00000000-0005-0000-0000-000000180000}"/>
    <cellStyle name="Normal 5 2 2 4 4 2 2" xfId="7765" xr:uid="{00000000-0005-0000-0000-000001180000}"/>
    <cellStyle name="Normal 5 2 2 4 4 2 2 2" xfId="16215" xr:uid="{750DD0BB-9859-4BC6-A28D-6BC2F589D56B}"/>
    <cellStyle name="Normal 5 2 2 4 4 2 3" xfId="11997" xr:uid="{02BB49B6-30EB-4ED3-8C4A-CA70279DFA24}"/>
    <cellStyle name="Normal 5 2 2 4 4 3" xfId="5620" xr:uid="{00000000-0005-0000-0000-000002180000}"/>
    <cellStyle name="Normal 5 2 2 4 4 3 2" xfId="14070" xr:uid="{0AA0773A-0D89-4A41-A282-548C2124AA0C}"/>
    <cellStyle name="Normal 5 2 2 4 4 4" xfId="9852" xr:uid="{008DFCDA-FAD4-41B4-A8AC-AB18A585A3FC}"/>
    <cellStyle name="Normal 5 2 2 4 5" xfId="1726" xr:uid="{00000000-0005-0000-0000-000003180000}"/>
    <cellStyle name="Normal 5 2 2 4 5 2" xfId="3956" xr:uid="{00000000-0005-0000-0000-000004180000}"/>
    <cellStyle name="Normal 5 2 2 4 5 2 2" xfId="8178" xr:uid="{00000000-0005-0000-0000-000005180000}"/>
    <cellStyle name="Normal 5 2 2 4 5 2 2 2" xfId="16628" xr:uid="{212EE9D0-9C6C-49CC-B6F0-58B35EC5184E}"/>
    <cellStyle name="Normal 5 2 2 4 5 2 3" xfId="12410" xr:uid="{A48ADD72-DAE3-4DBC-835A-FF6832E047A2}"/>
    <cellStyle name="Normal 5 2 2 4 5 3" xfId="6033" xr:uid="{00000000-0005-0000-0000-000006180000}"/>
    <cellStyle name="Normal 5 2 2 4 5 3 2" xfId="14483" xr:uid="{B4CC778E-7069-459B-B454-C66AE0880800}"/>
    <cellStyle name="Normal 5 2 2 4 5 4" xfId="10265" xr:uid="{275A5316-B443-4A1F-BCB0-E4501AA467A1}"/>
    <cellStyle name="Normal 5 2 2 4 6" xfId="2140" xr:uid="{00000000-0005-0000-0000-000007180000}"/>
    <cellStyle name="Normal 5 2 2 4 6 2" xfId="4369" xr:uid="{00000000-0005-0000-0000-000008180000}"/>
    <cellStyle name="Normal 5 2 2 4 6 2 2" xfId="8591" xr:uid="{00000000-0005-0000-0000-000009180000}"/>
    <cellStyle name="Normal 5 2 2 4 6 2 2 2" xfId="17041" xr:uid="{5B1BCBDA-0B79-4E2A-8BA8-FFEEA435073B}"/>
    <cellStyle name="Normal 5 2 2 4 6 2 3" xfId="12823" xr:uid="{DED79DF6-8657-42C7-976F-EBDE07A4AD41}"/>
    <cellStyle name="Normal 5 2 2 4 6 3" xfId="6446" xr:uid="{00000000-0005-0000-0000-00000A180000}"/>
    <cellStyle name="Normal 5 2 2 4 6 3 2" xfId="14896" xr:uid="{FD040456-121A-400D-A088-B15C44FA856B}"/>
    <cellStyle name="Normal 5 2 2 4 6 4" xfId="10678" xr:uid="{E1B513C1-2853-40C3-80FC-A591A6516165}"/>
    <cellStyle name="Normal 5 2 2 4 7" xfId="2576" xr:uid="{00000000-0005-0000-0000-00000B180000}"/>
    <cellStyle name="Normal 5 2 2 4 7 2" xfId="6859" xr:uid="{00000000-0005-0000-0000-00000C180000}"/>
    <cellStyle name="Normal 5 2 2 4 7 2 2" xfId="15309" xr:uid="{FAD0EE45-FC26-4114-85E2-FAFEE4654E04}"/>
    <cellStyle name="Normal 5 2 2 4 7 3" xfId="11091" xr:uid="{4DE61732-7CE9-407B-B438-1859A2F1C499}"/>
    <cellStyle name="Normal 5 2 2 4 8" xfId="4794" xr:uid="{00000000-0005-0000-0000-00000D180000}"/>
    <cellStyle name="Normal 5 2 2 4 8 2" xfId="13244" xr:uid="{D5EA8A06-19BB-45FD-8A2C-49F7662E92E7}"/>
    <cellStyle name="Normal 5 2 2 4 9" xfId="9026" xr:uid="{1713E76F-24E4-403F-8CE2-16E8513E14D3}"/>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2 2 2" xfId="15804" xr:uid="{4E57BD18-4874-42C6-BE17-08C4EDD664DF}"/>
    <cellStyle name="Normal 5 2 2 5 2 2 3" xfId="11586" xr:uid="{3F5E5F7F-94E5-41A6-ACDE-FB5334B17B5C}"/>
    <cellStyle name="Normal 5 2 2 5 2 3" xfId="5209" xr:uid="{00000000-0005-0000-0000-000012180000}"/>
    <cellStyle name="Normal 5 2 2 5 2 3 2" xfId="13659" xr:uid="{9CC4A36D-7E94-4FC9-B2A2-C263CDC9B23C}"/>
    <cellStyle name="Normal 5 2 2 5 2 4" xfId="9441" xr:uid="{C916342A-F93D-473E-A587-C47778A488C3}"/>
    <cellStyle name="Normal 5 2 2 5 3" xfId="1315" xr:uid="{00000000-0005-0000-0000-000013180000}"/>
    <cellStyle name="Normal 5 2 2 5 3 2" xfId="3545" xr:uid="{00000000-0005-0000-0000-000014180000}"/>
    <cellStyle name="Normal 5 2 2 5 3 2 2" xfId="7767" xr:uid="{00000000-0005-0000-0000-000015180000}"/>
    <cellStyle name="Normal 5 2 2 5 3 2 2 2" xfId="16217" xr:uid="{B4ED4AD8-7B88-4A54-83A6-EE9B91E0AA34}"/>
    <cellStyle name="Normal 5 2 2 5 3 2 3" xfId="11999" xr:uid="{0A43016D-8B6F-4A95-BD6F-1BCC8262BC8D}"/>
    <cellStyle name="Normal 5 2 2 5 3 3" xfId="5622" xr:uid="{00000000-0005-0000-0000-000016180000}"/>
    <cellStyle name="Normal 5 2 2 5 3 3 2" xfId="14072" xr:uid="{9ECF612E-A413-4775-88B7-0FE1E61DEEB8}"/>
    <cellStyle name="Normal 5 2 2 5 3 4" xfId="9854" xr:uid="{7A22F495-C0E3-4B85-BE3A-5CB866BFFACD}"/>
    <cellStyle name="Normal 5 2 2 5 4" xfId="1728" xr:uid="{00000000-0005-0000-0000-000017180000}"/>
    <cellStyle name="Normal 5 2 2 5 4 2" xfId="3958" xr:uid="{00000000-0005-0000-0000-000018180000}"/>
    <cellStyle name="Normal 5 2 2 5 4 2 2" xfId="8180" xr:uid="{00000000-0005-0000-0000-000019180000}"/>
    <cellStyle name="Normal 5 2 2 5 4 2 2 2" xfId="16630" xr:uid="{04550932-A662-4B9F-AFDA-FA3917C783FC}"/>
    <cellStyle name="Normal 5 2 2 5 4 2 3" xfId="12412" xr:uid="{6BC9E969-F4B3-47D5-966C-C264EB89DEB5}"/>
    <cellStyle name="Normal 5 2 2 5 4 3" xfId="6035" xr:uid="{00000000-0005-0000-0000-00001A180000}"/>
    <cellStyle name="Normal 5 2 2 5 4 3 2" xfId="14485" xr:uid="{7CE32CA5-3801-4134-A91E-AD70CE820E3D}"/>
    <cellStyle name="Normal 5 2 2 5 4 4" xfId="10267" xr:uid="{6D784025-4134-4BB1-973F-5D5C98F2D1D5}"/>
    <cellStyle name="Normal 5 2 2 5 5" xfId="2142" xr:uid="{00000000-0005-0000-0000-00001B180000}"/>
    <cellStyle name="Normal 5 2 2 5 5 2" xfId="4371" xr:uid="{00000000-0005-0000-0000-00001C180000}"/>
    <cellStyle name="Normal 5 2 2 5 5 2 2" xfId="8593" xr:uid="{00000000-0005-0000-0000-00001D180000}"/>
    <cellStyle name="Normal 5 2 2 5 5 2 2 2" xfId="17043" xr:uid="{43AA3704-B980-4E25-A604-327F7FC51214}"/>
    <cellStyle name="Normal 5 2 2 5 5 2 3" xfId="12825" xr:uid="{C3D729F1-EE83-4C3D-98EA-58E41F13DE50}"/>
    <cellStyle name="Normal 5 2 2 5 5 3" xfId="6448" xr:uid="{00000000-0005-0000-0000-00001E180000}"/>
    <cellStyle name="Normal 5 2 2 5 5 3 2" xfId="14898" xr:uid="{EB6F85C4-F3E2-4C6D-BB50-37EA4919A32C}"/>
    <cellStyle name="Normal 5 2 2 5 5 4" xfId="10680" xr:uid="{ADC75EF3-456B-4086-9390-310BC83D37DD}"/>
    <cellStyle name="Normal 5 2 2 5 6" xfId="2578" xr:uid="{00000000-0005-0000-0000-00001F180000}"/>
    <cellStyle name="Normal 5 2 2 5 6 2" xfId="6861" xr:uid="{00000000-0005-0000-0000-000020180000}"/>
    <cellStyle name="Normal 5 2 2 5 6 2 2" xfId="15311" xr:uid="{4E398417-6250-4AD6-8E69-15605540AA7F}"/>
    <cellStyle name="Normal 5 2 2 5 6 3" xfId="11093" xr:uid="{5E3BCA21-971D-4CC7-83D5-07BE875DE7ED}"/>
    <cellStyle name="Normal 5 2 2 5 7" xfId="4796" xr:uid="{00000000-0005-0000-0000-000021180000}"/>
    <cellStyle name="Normal 5 2 2 5 7 2" xfId="13246" xr:uid="{65437ABC-F604-4D4A-937E-5A4BD9AF3B40}"/>
    <cellStyle name="Normal 5 2 2 5 8" xfId="9028" xr:uid="{80F16F5F-DA42-4AD7-BB34-408A0CD89B23}"/>
    <cellStyle name="Normal 5 2 2 6" xfId="882" xr:uid="{00000000-0005-0000-0000-000022180000}"/>
    <cellStyle name="Normal 5 2 2 6 2" xfId="3117" xr:uid="{00000000-0005-0000-0000-000023180000}"/>
    <cellStyle name="Normal 5 2 2 6 2 2" xfId="7339" xr:uid="{00000000-0005-0000-0000-000024180000}"/>
    <cellStyle name="Normal 5 2 2 6 2 2 2" xfId="15789" xr:uid="{F38A6727-6898-4B2E-A10B-E1C905BD9C36}"/>
    <cellStyle name="Normal 5 2 2 6 2 3" xfId="11571" xr:uid="{B959928D-82A8-466F-89A2-9F381A20C560}"/>
    <cellStyle name="Normal 5 2 2 6 3" xfId="5194" xr:uid="{00000000-0005-0000-0000-000025180000}"/>
    <cellStyle name="Normal 5 2 2 6 3 2" xfId="13644" xr:uid="{29222E54-CB73-4AC6-B1E7-58360E099CAE}"/>
    <cellStyle name="Normal 5 2 2 6 4" xfId="9426" xr:uid="{54E756B7-DAB3-45C0-8AF0-BED377980292}"/>
    <cellStyle name="Normal 5 2 2 7" xfId="1300" xr:uid="{00000000-0005-0000-0000-000026180000}"/>
    <cellStyle name="Normal 5 2 2 7 2" xfId="3530" xr:uid="{00000000-0005-0000-0000-000027180000}"/>
    <cellStyle name="Normal 5 2 2 7 2 2" xfId="7752" xr:uid="{00000000-0005-0000-0000-000028180000}"/>
    <cellStyle name="Normal 5 2 2 7 2 2 2" xfId="16202" xr:uid="{AD3E963F-DF78-410C-BD04-7F3077830A4A}"/>
    <cellStyle name="Normal 5 2 2 7 2 3" xfId="11984" xr:uid="{77D42832-A629-42BD-8B47-485E2CE35106}"/>
    <cellStyle name="Normal 5 2 2 7 3" xfId="5607" xr:uid="{00000000-0005-0000-0000-000029180000}"/>
    <cellStyle name="Normal 5 2 2 7 3 2" xfId="14057" xr:uid="{EDC5416D-3434-411E-807D-5265718C14CD}"/>
    <cellStyle name="Normal 5 2 2 7 4" xfId="9839" xr:uid="{0B657BC7-C2C3-4B58-ACCA-1B6055B6EDB3}"/>
    <cellStyle name="Normal 5 2 2 8" xfId="1713" xr:uid="{00000000-0005-0000-0000-00002A180000}"/>
    <cellStyle name="Normal 5 2 2 8 2" xfId="3943" xr:uid="{00000000-0005-0000-0000-00002B180000}"/>
    <cellStyle name="Normal 5 2 2 8 2 2" xfId="8165" xr:uid="{00000000-0005-0000-0000-00002C180000}"/>
    <cellStyle name="Normal 5 2 2 8 2 2 2" xfId="16615" xr:uid="{F0A7A035-5C63-4880-B478-452CD1D63F43}"/>
    <cellStyle name="Normal 5 2 2 8 2 3" xfId="12397" xr:uid="{85A8A526-7E1A-456D-8080-81DA148824BA}"/>
    <cellStyle name="Normal 5 2 2 8 3" xfId="6020" xr:uid="{00000000-0005-0000-0000-00002D180000}"/>
    <cellStyle name="Normal 5 2 2 8 3 2" xfId="14470" xr:uid="{EF61DFE5-E54F-4E9A-B4D0-70DAE5EE39AB}"/>
    <cellStyle name="Normal 5 2 2 8 4" xfId="10252" xr:uid="{53251699-F524-4F56-83A3-55F7700D31A4}"/>
    <cellStyle name="Normal 5 2 2 9" xfId="2127" xr:uid="{00000000-0005-0000-0000-00002E180000}"/>
    <cellStyle name="Normal 5 2 2 9 2" xfId="4356" xr:uid="{00000000-0005-0000-0000-00002F180000}"/>
    <cellStyle name="Normal 5 2 2 9 2 2" xfId="8578" xr:uid="{00000000-0005-0000-0000-000030180000}"/>
    <cellStyle name="Normal 5 2 2 9 2 2 2" xfId="17028" xr:uid="{8184EF11-F9B6-436B-8834-1150490AEDC7}"/>
    <cellStyle name="Normal 5 2 2 9 2 3" xfId="12810" xr:uid="{40F6992B-44DF-43F1-A160-266D2BC6F71D}"/>
    <cellStyle name="Normal 5 2 2 9 3" xfId="6433" xr:uid="{00000000-0005-0000-0000-000031180000}"/>
    <cellStyle name="Normal 5 2 2 9 3 2" xfId="14883" xr:uid="{80E18648-1068-4327-A972-FBE0D51FDDE0}"/>
    <cellStyle name="Normal 5 2 2 9 4" xfId="10665" xr:uid="{E284AE00-A2F0-4D16-B7C4-FD4FD110A89D}"/>
    <cellStyle name="Normal 5 2 3" xfId="424" xr:uid="{00000000-0005-0000-0000-000032180000}"/>
    <cellStyle name="Normal 5 2 3 10" xfId="4797" xr:uid="{00000000-0005-0000-0000-000033180000}"/>
    <cellStyle name="Normal 5 2 3 10 2" xfId="13247" xr:uid="{9852C725-858A-41AF-AAE8-C744BC647DEF}"/>
    <cellStyle name="Normal 5 2 3 11" xfId="9029" xr:uid="{7A02DA41-F8C7-4942-BA31-EE8D30EC01EC}"/>
    <cellStyle name="Normal 5 2 3 2" xfId="425" xr:uid="{00000000-0005-0000-0000-000034180000}"/>
    <cellStyle name="Normal 5 2 3 2 10" xfId="9030" xr:uid="{58A588C2-0E2D-4365-85EC-C9EF553D0D97}"/>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2 2 2" xfId="15808" xr:uid="{CF0EEA19-5883-40E7-B5A7-72A8E5E81250}"/>
    <cellStyle name="Normal 5 2 3 2 2 2 2 2 3" xfId="11590" xr:uid="{0BDEA0A9-F9BE-44DA-980F-783EF90717B7}"/>
    <cellStyle name="Normal 5 2 3 2 2 2 2 3" xfId="5213" xr:uid="{00000000-0005-0000-0000-00003A180000}"/>
    <cellStyle name="Normal 5 2 3 2 2 2 2 3 2" xfId="13663" xr:uid="{E0FD2FC0-8842-4232-98AD-F992E6D1B6A0}"/>
    <cellStyle name="Normal 5 2 3 2 2 2 2 4" xfId="9445" xr:uid="{A5625DC6-2EA6-49B7-ADBF-D9E6B3D2B32F}"/>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2 2 2" xfId="16221" xr:uid="{9DE211D9-6E9A-453F-8370-DDB8924329A8}"/>
    <cellStyle name="Normal 5 2 3 2 2 2 3 2 3" xfId="12003" xr:uid="{4D2C4290-FA1A-41B2-A056-D2B53E9477D7}"/>
    <cellStyle name="Normal 5 2 3 2 2 2 3 3" xfId="5626" xr:uid="{00000000-0005-0000-0000-00003E180000}"/>
    <cellStyle name="Normal 5 2 3 2 2 2 3 3 2" xfId="14076" xr:uid="{41F81117-09C0-44D9-AF31-1BC573DEA047}"/>
    <cellStyle name="Normal 5 2 3 2 2 2 3 4" xfId="9858" xr:uid="{0783926F-F04A-4FC3-A779-B831927CB743}"/>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2 2 2" xfId="16634" xr:uid="{380CF219-BA11-41ED-B2CF-BE5FAD2FCD0A}"/>
    <cellStyle name="Normal 5 2 3 2 2 2 4 2 3" xfId="12416" xr:uid="{07918D09-7652-482A-89D5-A283E00A47C3}"/>
    <cellStyle name="Normal 5 2 3 2 2 2 4 3" xfId="6039" xr:uid="{00000000-0005-0000-0000-000042180000}"/>
    <cellStyle name="Normal 5 2 3 2 2 2 4 3 2" xfId="14489" xr:uid="{CCD4DE08-6F6F-4926-9353-14364C750429}"/>
    <cellStyle name="Normal 5 2 3 2 2 2 4 4" xfId="10271" xr:uid="{5001518B-FCD0-4F6E-9E87-DE439FADBF8E}"/>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2 2 2" xfId="17047" xr:uid="{53F7794A-3297-4F0C-8C44-402310E95746}"/>
    <cellStyle name="Normal 5 2 3 2 2 2 5 2 3" xfId="12829" xr:uid="{770972CF-D5F4-4399-8CAF-33AAA2E7987D}"/>
    <cellStyle name="Normal 5 2 3 2 2 2 5 3" xfId="6452" xr:uid="{00000000-0005-0000-0000-000046180000}"/>
    <cellStyle name="Normal 5 2 3 2 2 2 5 3 2" xfId="14902" xr:uid="{6BE71BBF-B4AC-4FED-A6F7-C736F36080A0}"/>
    <cellStyle name="Normal 5 2 3 2 2 2 5 4" xfId="10684" xr:uid="{86701413-6701-4FA0-9CC1-5C585238DC5E}"/>
    <cellStyle name="Normal 5 2 3 2 2 2 6" xfId="2582" xr:uid="{00000000-0005-0000-0000-000047180000}"/>
    <cellStyle name="Normal 5 2 3 2 2 2 6 2" xfId="6865" xr:uid="{00000000-0005-0000-0000-000048180000}"/>
    <cellStyle name="Normal 5 2 3 2 2 2 6 2 2" xfId="15315" xr:uid="{9008E94D-C73C-4334-ACD2-4329B450CA16}"/>
    <cellStyle name="Normal 5 2 3 2 2 2 6 3" xfId="11097" xr:uid="{49A971EE-9C7B-4D0A-9263-D27A4F112D12}"/>
    <cellStyle name="Normal 5 2 3 2 2 2 7" xfId="4800" xr:uid="{00000000-0005-0000-0000-000049180000}"/>
    <cellStyle name="Normal 5 2 3 2 2 2 7 2" xfId="13250" xr:uid="{147A4962-3C3D-4BBC-AFF7-C187D1AD05D5}"/>
    <cellStyle name="Normal 5 2 3 2 2 2 8" xfId="9032" xr:uid="{82510223-199E-42EC-B119-1743FB648E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2 2 2" xfId="15807" xr:uid="{25DB0FE1-CB25-420F-8FFA-DDDB0775E946}"/>
    <cellStyle name="Normal 5 2 3 2 2 3 2 3" xfId="11589" xr:uid="{23B15573-FEDC-462D-9614-F41E9040EB37}"/>
    <cellStyle name="Normal 5 2 3 2 2 3 3" xfId="5212" xr:uid="{00000000-0005-0000-0000-00004D180000}"/>
    <cellStyle name="Normal 5 2 3 2 2 3 3 2" xfId="13662" xr:uid="{BCECF8D1-581C-4487-A281-58C021852351}"/>
    <cellStyle name="Normal 5 2 3 2 2 3 4" xfId="9444" xr:uid="{FD4846ED-FF78-4ED6-B302-7183A0E5C195}"/>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2 2 2" xfId="16220" xr:uid="{358AE5E6-5527-4B59-A38A-99DC1AC06CF4}"/>
    <cellStyle name="Normal 5 2 3 2 2 4 2 3" xfId="12002" xr:uid="{DB3F378D-A679-4DC4-8E43-9CF6557F8FCF}"/>
    <cellStyle name="Normal 5 2 3 2 2 4 3" xfId="5625" xr:uid="{00000000-0005-0000-0000-000051180000}"/>
    <cellStyle name="Normal 5 2 3 2 2 4 3 2" xfId="14075" xr:uid="{91AAF23C-3B97-474B-BBDB-F4B7B9B40618}"/>
    <cellStyle name="Normal 5 2 3 2 2 4 4" xfId="9857" xr:uid="{FBBA6A0D-4A1E-4816-AD3E-664AB2ED73D6}"/>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2 2 2" xfId="16633" xr:uid="{FA395000-3EB2-4E9F-BFAD-DC82DD91E58D}"/>
    <cellStyle name="Normal 5 2 3 2 2 5 2 3" xfId="12415" xr:uid="{3AFFBF6B-9060-4BE0-B7F1-0B1C467137A6}"/>
    <cellStyle name="Normal 5 2 3 2 2 5 3" xfId="6038" xr:uid="{00000000-0005-0000-0000-000055180000}"/>
    <cellStyle name="Normal 5 2 3 2 2 5 3 2" xfId="14488" xr:uid="{9FF9FF91-CCBD-4259-8E82-98025C2F12CB}"/>
    <cellStyle name="Normal 5 2 3 2 2 5 4" xfId="10270" xr:uid="{9704B3E7-A100-4D16-8F13-A1C7B8C999A3}"/>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2 2 2" xfId="17046" xr:uid="{FB9ABED5-5CFC-4401-BC73-EBE58B8B05B2}"/>
    <cellStyle name="Normal 5 2 3 2 2 6 2 3" xfId="12828" xr:uid="{21E98635-365F-45D4-870E-00CA228F1C34}"/>
    <cellStyle name="Normal 5 2 3 2 2 6 3" xfId="6451" xr:uid="{00000000-0005-0000-0000-000059180000}"/>
    <cellStyle name="Normal 5 2 3 2 2 6 3 2" xfId="14901" xr:uid="{348D1F6D-1F28-4F32-8A97-BEC9C52C256E}"/>
    <cellStyle name="Normal 5 2 3 2 2 6 4" xfId="10683" xr:uid="{C25EA449-E37B-41F2-9C55-E18372A42448}"/>
    <cellStyle name="Normal 5 2 3 2 2 7" xfId="2581" xr:uid="{00000000-0005-0000-0000-00005A180000}"/>
    <cellStyle name="Normal 5 2 3 2 2 7 2" xfId="6864" xr:uid="{00000000-0005-0000-0000-00005B180000}"/>
    <cellStyle name="Normal 5 2 3 2 2 7 2 2" xfId="15314" xr:uid="{73B1FB0E-6826-4EC3-BC29-785DEA229D2F}"/>
    <cellStyle name="Normal 5 2 3 2 2 7 3" xfId="11096" xr:uid="{717D6538-4260-4CC8-A25C-F9D7B7BF4E06}"/>
    <cellStyle name="Normal 5 2 3 2 2 8" xfId="4799" xr:uid="{00000000-0005-0000-0000-00005C180000}"/>
    <cellStyle name="Normal 5 2 3 2 2 8 2" xfId="13249" xr:uid="{131A5082-0FBD-4BA5-85D4-D0373475D78F}"/>
    <cellStyle name="Normal 5 2 3 2 2 9" xfId="9031" xr:uid="{25D87372-A0C5-4595-8DF0-02F2317EB24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2 2 2" xfId="15809" xr:uid="{BB0BF495-F87A-4D03-A08C-6E05EC45B4FC}"/>
    <cellStyle name="Normal 5 2 3 2 3 2 2 3" xfId="11591" xr:uid="{F28A2DD4-0048-4CA9-8A4F-96FE73ED97B8}"/>
    <cellStyle name="Normal 5 2 3 2 3 2 3" xfId="5214" xr:uid="{00000000-0005-0000-0000-000061180000}"/>
    <cellStyle name="Normal 5 2 3 2 3 2 3 2" xfId="13664" xr:uid="{930D4EDF-6536-4865-9305-FE1BB7C46598}"/>
    <cellStyle name="Normal 5 2 3 2 3 2 4" xfId="9446" xr:uid="{21086590-9DB1-410C-839B-654286D84C69}"/>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2 2 2" xfId="16222" xr:uid="{FE8EE12B-3BE6-4192-8062-02B15BABE0C3}"/>
    <cellStyle name="Normal 5 2 3 2 3 3 2 3" xfId="12004" xr:uid="{D6D0489B-14A5-4485-887A-B75DF54B7263}"/>
    <cellStyle name="Normal 5 2 3 2 3 3 3" xfId="5627" xr:uid="{00000000-0005-0000-0000-000065180000}"/>
    <cellStyle name="Normal 5 2 3 2 3 3 3 2" xfId="14077" xr:uid="{57FC93AE-8CD0-4B52-A4F9-0BDC03048FF1}"/>
    <cellStyle name="Normal 5 2 3 2 3 3 4" xfId="9859" xr:uid="{7A542EE8-EA2B-48DB-927C-8A3FF8D36F2E}"/>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2 2 2" xfId="16635" xr:uid="{E0446EFA-6BFB-456C-992D-C7E916868EF7}"/>
    <cellStyle name="Normal 5 2 3 2 3 4 2 3" xfId="12417" xr:uid="{B900A966-9384-4743-AB87-F0384D81A146}"/>
    <cellStyle name="Normal 5 2 3 2 3 4 3" xfId="6040" xr:uid="{00000000-0005-0000-0000-000069180000}"/>
    <cellStyle name="Normal 5 2 3 2 3 4 3 2" xfId="14490" xr:uid="{EDF41824-AAB7-4BFB-AB81-DF6B4865896F}"/>
    <cellStyle name="Normal 5 2 3 2 3 4 4" xfId="10272" xr:uid="{A769CD78-BAD7-4DA7-A0E9-D2C7C1900672}"/>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2 2 2" xfId="17048" xr:uid="{217D5088-EC38-477D-868E-CA63EE699028}"/>
    <cellStyle name="Normal 5 2 3 2 3 5 2 3" xfId="12830" xr:uid="{CF256964-97DA-43FE-ACD5-13B044B58FE3}"/>
    <cellStyle name="Normal 5 2 3 2 3 5 3" xfId="6453" xr:uid="{00000000-0005-0000-0000-00006D180000}"/>
    <cellStyle name="Normal 5 2 3 2 3 5 3 2" xfId="14903" xr:uid="{1B602C02-A0AA-4659-8BBC-D127AFFCF6BC}"/>
    <cellStyle name="Normal 5 2 3 2 3 5 4" xfId="10685" xr:uid="{6108CA7F-E3A0-40E7-8046-829963C1CC16}"/>
    <cellStyle name="Normal 5 2 3 2 3 6" xfId="2583" xr:uid="{00000000-0005-0000-0000-00006E180000}"/>
    <cellStyle name="Normal 5 2 3 2 3 6 2" xfId="6866" xr:uid="{00000000-0005-0000-0000-00006F180000}"/>
    <cellStyle name="Normal 5 2 3 2 3 6 2 2" xfId="15316" xr:uid="{55138FF2-0B28-4D9F-809B-5FB6F655B40F}"/>
    <cellStyle name="Normal 5 2 3 2 3 6 3" xfId="11098" xr:uid="{A0CB09BA-23E4-4BAA-9132-E58B6DD2C3CB}"/>
    <cellStyle name="Normal 5 2 3 2 3 7" xfId="4801" xr:uid="{00000000-0005-0000-0000-000070180000}"/>
    <cellStyle name="Normal 5 2 3 2 3 7 2" xfId="13251" xr:uid="{84488A96-045F-46D7-990F-E2037211CE32}"/>
    <cellStyle name="Normal 5 2 3 2 3 8" xfId="9033" xr:uid="{5E7861B3-7B5A-4121-904D-6F333A6830CA}"/>
    <cellStyle name="Normal 5 2 3 2 4" xfId="899" xr:uid="{00000000-0005-0000-0000-000071180000}"/>
    <cellStyle name="Normal 5 2 3 2 4 2" xfId="3134" xr:uid="{00000000-0005-0000-0000-000072180000}"/>
    <cellStyle name="Normal 5 2 3 2 4 2 2" xfId="7356" xr:uid="{00000000-0005-0000-0000-000073180000}"/>
    <cellStyle name="Normal 5 2 3 2 4 2 2 2" xfId="15806" xr:uid="{88376AC0-5628-410C-805A-822AAE605178}"/>
    <cellStyle name="Normal 5 2 3 2 4 2 3" xfId="11588" xr:uid="{0CB51C2C-17DA-48D4-AB20-0F7E4E8FB66A}"/>
    <cellStyle name="Normal 5 2 3 2 4 3" xfId="5211" xr:uid="{00000000-0005-0000-0000-000074180000}"/>
    <cellStyle name="Normal 5 2 3 2 4 3 2" xfId="13661" xr:uid="{F75FCEA0-AA0B-4E07-91D6-6215AE88B22A}"/>
    <cellStyle name="Normal 5 2 3 2 4 4" xfId="9443" xr:uid="{EE2E55D0-1238-4527-B71E-A0360320B0F7}"/>
    <cellStyle name="Normal 5 2 3 2 5" xfId="1317" xr:uid="{00000000-0005-0000-0000-000075180000}"/>
    <cellStyle name="Normal 5 2 3 2 5 2" xfId="3547" xr:uid="{00000000-0005-0000-0000-000076180000}"/>
    <cellStyle name="Normal 5 2 3 2 5 2 2" xfId="7769" xr:uid="{00000000-0005-0000-0000-000077180000}"/>
    <cellStyle name="Normal 5 2 3 2 5 2 2 2" xfId="16219" xr:uid="{94C21CE9-5F09-47C9-AAF7-E3D512E1F2B7}"/>
    <cellStyle name="Normal 5 2 3 2 5 2 3" xfId="12001" xr:uid="{EFFA9ADB-84CC-4B9D-9816-2DF2F54BCF98}"/>
    <cellStyle name="Normal 5 2 3 2 5 3" xfId="5624" xr:uid="{00000000-0005-0000-0000-000078180000}"/>
    <cellStyle name="Normal 5 2 3 2 5 3 2" xfId="14074" xr:uid="{E16724A7-4F28-422E-8628-4ADD64F2E0D4}"/>
    <cellStyle name="Normal 5 2 3 2 5 4" xfId="9856" xr:uid="{D45BED79-7D44-4359-8D9D-05A031CFE3CC}"/>
    <cellStyle name="Normal 5 2 3 2 6" xfId="1730" xr:uid="{00000000-0005-0000-0000-000079180000}"/>
    <cellStyle name="Normal 5 2 3 2 6 2" xfId="3960" xr:uid="{00000000-0005-0000-0000-00007A180000}"/>
    <cellStyle name="Normal 5 2 3 2 6 2 2" xfId="8182" xr:uid="{00000000-0005-0000-0000-00007B180000}"/>
    <cellStyle name="Normal 5 2 3 2 6 2 2 2" xfId="16632" xr:uid="{432CF645-7E54-4806-A6DA-93199D989962}"/>
    <cellStyle name="Normal 5 2 3 2 6 2 3" xfId="12414" xr:uid="{E2408739-A9DB-4B59-9468-EED9D791AF89}"/>
    <cellStyle name="Normal 5 2 3 2 6 3" xfId="6037" xr:uid="{00000000-0005-0000-0000-00007C180000}"/>
    <cellStyle name="Normal 5 2 3 2 6 3 2" xfId="14487" xr:uid="{A8DDBAE6-AC29-409D-8F2B-ADA096A74787}"/>
    <cellStyle name="Normal 5 2 3 2 6 4" xfId="10269" xr:uid="{C0A87900-475B-42EA-9970-9668991B79B5}"/>
    <cellStyle name="Normal 5 2 3 2 7" xfId="2144" xr:uid="{00000000-0005-0000-0000-00007D180000}"/>
    <cellStyle name="Normal 5 2 3 2 7 2" xfId="4373" xr:uid="{00000000-0005-0000-0000-00007E180000}"/>
    <cellStyle name="Normal 5 2 3 2 7 2 2" xfId="8595" xr:uid="{00000000-0005-0000-0000-00007F180000}"/>
    <cellStyle name="Normal 5 2 3 2 7 2 2 2" xfId="17045" xr:uid="{7ADCC887-7C59-4A65-9B5A-5ACC5AD6A6DD}"/>
    <cellStyle name="Normal 5 2 3 2 7 2 3" xfId="12827" xr:uid="{504D38E5-3E0A-4B38-B951-82B0858BF390}"/>
    <cellStyle name="Normal 5 2 3 2 7 3" xfId="6450" xr:uid="{00000000-0005-0000-0000-000080180000}"/>
    <cellStyle name="Normal 5 2 3 2 7 3 2" xfId="14900" xr:uid="{11ADB7F6-98DB-47A8-BEF2-5F1634C75DAC}"/>
    <cellStyle name="Normal 5 2 3 2 7 4" xfId="10682" xr:uid="{413D3284-D78E-43FB-A336-9864EC18A491}"/>
    <cellStyle name="Normal 5 2 3 2 8" xfId="2580" xr:uid="{00000000-0005-0000-0000-000081180000}"/>
    <cellStyle name="Normal 5 2 3 2 8 2" xfId="6863" xr:uid="{00000000-0005-0000-0000-000082180000}"/>
    <cellStyle name="Normal 5 2 3 2 8 2 2" xfId="15313" xr:uid="{0F94707F-0555-4C1A-B9ED-0DE1E5A645B6}"/>
    <cellStyle name="Normal 5 2 3 2 8 3" xfId="11095" xr:uid="{83A7FADC-C89C-408D-A787-C545F160E04E}"/>
    <cellStyle name="Normal 5 2 3 2 9" xfId="4798" xr:uid="{00000000-0005-0000-0000-000083180000}"/>
    <cellStyle name="Normal 5 2 3 2 9 2" xfId="13248" xr:uid="{C8DDCADA-00E5-4DF5-8EE3-35ED2764E795}"/>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2 2 2" xfId="15811" xr:uid="{E6F2C0B4-3718-46A4-A2EC-0021FAFA9B7B}"/>
    <cellStyle name="Normal 5 2 3 3 2 2 2 3" xfId="11593" xr:uid="{E8F51C04-57EB-4BCF-874C-3CA89F02FAD5}"/>
    <cellStyle name="Normal 5 2 3 3 2 2 3" xfId="5216" xr:uid="{00000000-0005-0000-0000-000089180000}"/>
    <cellStyle name="Normal 5 2 3 3 2 2 3 2" xfId="13666" xr:uid="{B47A2D75-9FBF-498D-A660-F3138360C161}"/>
    <cellStyle name="Normal 5 2 3 3 2 2 4" xfId="9448" xr:uid="{EA283A6B-BC0E-4084-B34B-071DCD8EE699}"/>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2 2 2" xfId="16224" xr:uid="{450BA8E4-C81F-455C-B1F3-650FC514CB3C}"/>
    <cellStyle name="Normal 5 2 3 3 2 3 2 3" xfId="12006" xr:uid="{DB99C6C2-0661-4D33-946A-CEF1B328CF03}"/>
    <cellStyle name="Normal 5 2 3 3 2 3 3" xfId="5629" xr:uid="{00000000-0005-0000-0000-00008D180000}"/>
    <cellStyle name="Normal 5 2 3 3 2 3 3 2" xfId="14079" xr:uid="{DC37FFF3-2237-4D19-9280-3288BF178EAD}"/>
    <cellStyle name="Normal 5 2 3 3 2 3 4" xfId="9861" xr:uid="{91F40CCE-22C1-42EF-AFA5-37A976599277}"/>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2 2 2" xfId="16637" xr:uid="{2CD2BB8F-F28A-475B-A80D-8B48DBC68CD3}"/>
    <cellStyle name="Normal 5 2 3 3 2 4 2 3" xfId="12419" xr:uid="{BC584F27-4417-4A5F-8103-FF3F83BB8BB5}"/>
    <cellStyle name="Normal 5 2 3 3 2 4 3" xfId="6042" xr:uid="{00000000-0005-0000-0000-000091180000}"/>
    <cellStyle name="Normal 5 2 3 3 2 4 3 2" xfId="14492" xr:uid="{0C10E8BD-A4AD-4A08-84FA-A833A40F622B}"/>
    <cellStyle name="Normal 5 2 3 3 2 4 4" xfId="10274" xr:uid="{8232EDE9-ADB4-433D-9453-3E90BA1CC114}"/>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2 2 2" xfId="17050" xr:uid="{E9C36A2D-D008-45B9-8E81-FC83480960E3}"/>
    <cellStyle name="Normal 5 2 3 3 2 5 2 3" xfId="12832" xr:uid="{E98B9CC2-538F-4F85-B02F-99CA41BB624B}"/>
    <cellStyle name="Normal 5 2 3 3 2 5 3" xfId="6455" xr:uid="{00000000-0005-0000-0000-000095180000}"/>
    <cellStyle name="Normal 5 2 3 3 2 5 3 2" xfId="14905" xr:uid="{5808B95A-CCD7-45AD-AF23-22B56B458414}"/>
    <cellStyle name="Normal 5 2 3 3 2 5 4" xfId="10687" xr:uid="{986806C7-8933-427F-ADE4-BBDB21E8D663}"/>
    <cellStyle name="Normal 5 2 3 3 2 6" xfId="2585" xr:uid="{00000000-0005-0000-0000-000096180000}"/>
    <cellStyle name="Normal 5 2 3 3 2 6 2" xfId="6868" xr:uid="{00000000-0005-0000-0000-000097180000}"/>
    <cellStyle name="Normal 5 2 3 3 2 6 2 2" xfId="15318" xr:uid="{DE3BBB76-3F65-4DC9-AE4D-9C81CDEECEA5}"/>
    <cellStyle name="Normal 5 2 3 3 2 6 3" xfId="11100" xr:uid="{AB8F4361-2D0E-4154-9A0B-8159D3430291}"/>
    <cellStyle name="Normal 5 2 3 3 2 7" xfId="4803" xr:uid="{00000000-0005-0000-0000-000098180000}"/>
    <cellStyle name="Normal 5 2 3 3 2 7 2" xfId="13253" xr:uid="{20529A89-2C59-4174-A443-72F0D55B49A4}"/>
    <cellStyle name="Normal 5 2 3 3 2 8" xfId="9035" xr:uid="{0A8EC31A-36FE-42DF-B3E1-FA904023B3FF}"/>
    <cellStyle name="Normal 5 2 3 3 3" xfId="903" xr:uid="{00000000-0005-0000-0000-000099180000}"/>
    <cellStyle name="Normal 5 2 3 3 3 2" xfId="3138" xr:uid="{00000000-0005-0000-0000-00009A180000}"/>
    <cellStyle name="Normal 5 2 3 3 3 2 2" xfId="7360" xr:uid="{00000000-0005-0000-0000-00009B180000}"/>
    <cellStyle name="Normal 5 2 3 3 3 2 2 2" xfId="15810" xr:uid="{90D3CA51-5A66-463C-A7F9-BE60FDB31F49}"/>
    <cellStyle name="Normal 5 2 3 3 3 2 3" xfId="11592" xr:uid="{BB4DFCB3-3497-4AE0-9D1A-F9F71DCD6FB5}"/>
    <cellStyle name="Normal 5 2 3 3 3 3" xfId="5215" xr:uid="{00000000-0005-0000-0000-00009C180000}"/>
    <cellStyle name="Normal 5 2 3 3 3 3 2" xfId="13665" xr:uid="{C2067273-6FC3-47D5-BA4C-285A4840B28B}"/>
    <cellStyle name="Normal 5 2 3 3 3 4" xfId="9447" xr:uid="{4C12A207-7A1B-40C6-B5AD-36CDCBED0545}"/>
    <cellStyle name="Normal 5 2 3 3 4" xfId="1321" xr:uid="{00000000-0005-0000-0000-00009D180000}"/>
    <cellStyle name="Normal 5 2 3 3 4 2" xfId="3551" xr:uid="{00000000-0005-0000-0000-00009E180000}"/>
    <cellStyle name="Normal 5 2 3 3 4 2 2" xfId="7773" xr:uid="{00000000-0005-0000-0000-00009F180000}"/>
    <cellStyle name="Normal 5 2 3 3 4 2 2 2" xfId="16223" xr:uid="{6E6BF618-8B45-4DCD-8B69-DC4D57260724}"/>
    <cellStyle name="Normal 5 2 3 3 4 2 3" xfId="12005" xr:uid="{59574FE2-61B7-46B2-B8A1-D4837941E66F}"/>
    <cellStyle name="Normal 5 2 3 3 4 3" xfId="5628" xr:uid="{00000000-0005-0000-0000-0000A0180000}"/>
    <cellStyle name="Normal 5 2 3 3 4 3 2" xfId="14078" xr:uid="{922DFE66-3409-4ADF-91C5-356D838AF9B0}"/>
    <cellStyle name="Normal 5 2 3 3 4 4" xfId="9860" xr:uid="{AF0BBCCD-3677-4130-8572-E30143BE733D}"/>
    <cellStyle name="Normal 5 2 3 3 5" xfId="1734" xr:uid="{00000000-0005-0000-0000-0000A1180000}"/>
    <cellStyle name="Normal 5 2 3 3 5 2" xfId="3964" xr:uid="{00000000-0005-0000-0000-0000A2180000}"/>
    <cellStyle name="Normal 5 2 3 3 5 2 2" xfId="8186" xr:uid="{00000000-0005-0000-0000-0000A3180000}"/>
    <cellStyle name="Normal 5 2 3 3 5 2 2 2" xfId="16636" xr:uid="{FD5CD5CF-34DC-481A-A353-4CA01926CA15}"/>
    <cellStyle name="Normal 5 2 3 3 5 2 3" xfId="12418" xr:uid="{95311BFF-9D13-4365-9392-1FC4B950F010}"/>
    <cellStyle name="Normal 5 2 3 3 5 3" xfId="6041" xr:uid="{00000000-0005-0000-0000-0000A4180000}"/>
    <cellStyle name="Normal 5 2 3 3 5 3 2" xfId="14491" xr:uid="{D7079225-1C26-4DE4-93A3-FD440A713A66}"/>
    <cellStyle name="Normal 5 2 3 3 5 4" xfId="10273" xr:uid="{C7897A3D-2497-47AA-B5F1-DC38D00F8DB5}"/>
    <cellStyle name="Normal 5 2 3 3 6" xfId="2148" xr:uid="{00000000-0005-0000-0000-0000A5180000}"/>
    <cellStyle name="Normal 5 2 3 3 6 2" xfId="4377" xr:uid="{00000000-0005-0000-0000-0000A6180000}"/>
    <cellStyle name="Normal 5 2 3 3 6 2 2" xfId="8599" xr:uid="{00000000-0005-0000-0000-0000A7180000}"/>
    <cellStyle name="Normal 5 2 3 3 6 2 2 2" xfId="17049" xr:uid="{B939478D-5BD1-4493-A347-D8F71134D550}"/>
    <cellStyle name="Normal 5 2 3 3 6 2 3" xfId="12831" xr:uid="{63A65E46-83E1-4C3A-8122-780739E2306B}"/>
    <cellStyle name="Normal 5 2 3 3 6 3" xfId="6454" xr:uid="{00000000-0005-0000-0000-0000A8180000}"/>
    <cellStyle name="Normal 5 2 3 3 6 3 2" xfId="14904" xr:uid="{C31630B4-FEC4-419E-9317-E57A09AD5246}"/>
    <cellStyle name="Normal 5 2 3 3 6 4" xfId="10686" xr:uid="{5F40CAE3-2F63-4EF1-B773-9066CB2798AC}"/>
    <cellStyle name="Normal 5 2 3 3 7" xfId="2584" xr:uid="{00000000-0005-0000-0000-0000A9180000}"/>
    <cellStyle name="Normal 5 2 3 3 7 2" xfId="6867" xr:uid="{00000000-0005-0000-0000-0000AA180000}"/>
    <cellStyle name="Normal 5 2 3 3 7 2 2" xfId="15317" xr:uid="{A118FA87-C23F-4ED5-9E88-A235F878DBD3}"/>
    <cellStyle name="Normal 5 2 3 3 7 3" xfId="11099" xr:uid="{FF22AEE6-D4EF-41F2-8754-712AB03FE6AF}"/>
    <cellStyle name="Normal 5 2 3 3 8" xfId="4802" xr:uid="{00000000-0005-0000-0000-0000AB180000}"/>
    <cellStyle name="Normal 5 2 3 3 8 2" xfId="13252" xr:uid="{13745491-82E2-45C5-ABEA-0064CD466189}"/>
    <cellStyle name="Normal 5 2 3 3 9" xfId="9034" xr:uid="{D35F58B1-954D-449B-962D-F1132668E1F8}"/>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2 2 2" xfId="15812" xr:uid="{1091B693-C778-4004-8DDF-B0F0CC5F36B8}"/>
    <cellStyle name="Normal 5 2 3 4 2 2 3" xfId="11594" xr:uid="{771C337D-7C3F-4F0C-9740-706CA415A1DA}"/>
    <cellStyle name="Normal 5 2 3 4 2 3" xfId="5217" xr:uid="{00000000-0005-0000-0000-0000B0180000}"/>
    <cellStyle name="Normal 5 2 3 4 2 3 2" xfId="13667" xr:uid="{E855BA15-6B94-45BF-BCB6-CD7053B48834}"/>
    <cellStyle name="Normal 5 2 3 4 2 4" xfId="9449" xr:uid="{CCDE7BCE-4628-43E6-8192-5AF731894C19}"/>
    <cellStyle name="Normal 5 2 3 4 3" xfId="1323" xr:uid="{00000000-0005-0000-0000-0000B1180000}"/>
    <cellStyle name="Normal 5 2 3 4 3 2" xfId="3553" xr:uid="{00000000-0005-0000-0000-0000B2180000}"/>
    <cellStyle name="Normal 5 2 3 4 3 2 2" xfId="7775" xr:uid="{00000000-0005-0000-0000-0000B3180000}"/>
    <cellStyle name="Normal 5 2 3 4 3 2 2 2" xfId="16225" xr:uid="{F434CC81-F8B5-4573-89E5-ED577860B263}"/>
    <cellStyle name="Normal 5 2 3 4 3 2 3" xfId="12007" xr:uid="{3400FCEB-29C8-411F-95B1-D4A848DE33EA}"/>
    <cellStyle name="Normal 5 2 3 4 3 3" xfId="5630" xr:uid="{00000000-0005-0000-0000-0000B4180000}"/>
    <cellStyle name="Normal 5 2 3 4 3 3 2" xfId="14080" xr:uid="{9AE10CED-4979-4B6A-8C6E-19BBC5DE2281}"/>
    <cellStyle name="Normal 5 2 3 4 3 4" xfId="9862" xr:uid="{F65128E3-A3A8-43C6-8EED-798A47E82486}"/>
    <cellStyle name="Normal 5 2 3 4 4" xfId="1736" xr:uid="{00000000-0005-0000-0000-0000B5180000}"/>
    <cellStyle name="Normal 5 2 3 4 4 2" xfId="3966" xr:uid="{00000000-0005-0000-0000-0000B6180000}"/>
    <cellStyle name="Normal 5 2 3 4 4 2 2" xfId="8188" xr:uid="{00000000-0005-0000-0000-0000B7180000}"/>
    <cellStyle name="Normal 5 2 3 4 4 2 2 2" xfId="16638" xr:uid="{85427A10-8703-4425-96BE-1DB508BCC921}"/>
    <cellStyle name="Normal 5 2 3 4 4 2 3" xfId="12420" xr:uid="{47953B3B-CDA7-42BC-8ABD-96B72D3AC076}"/>
    <cellStyle name="Normal 5 2 3 4 4 3" xfId="6043" xr:uid="{00000000-0005-0000-0000-0000B8180000}"/>
    <cellStyle name="Normal 5 2 3 4 4 3 2" xfId="14493" xr:uid="{B182392E-C372-4B65-B32B-1FCF72F4044B}"/>
    <cellStyle name="Normal 5 2 3 4 4 4" xfId="10275" xr:uid="{FCBBAA78-2F00-43A7-8126-369FE86AA468}"/>
    <cellStyle name="Normal 5 2 3 4 5" xfId="2150" xr:uid="{00000000-0005-0000-0000-0000B9180000}"/>
    <cellStyle name="Normal 5 2 3 4 5 2" xfId="4379" xr:uid="{00000000-0005-0000-0000-0000BA180000}"/>
    <cellStyle name="Normal 5 2 3 4 5 2 2" xfId="8601" xr:uid="{00000000-0005-0000-0000-0000BB180000}"/>
    <cellStyle name="Normal 5 2 3 4 5 2 2 2" xfId="17051" xr:uid="{9AC014C7-A8EC-4419-812C-4950F7EB2257}"/>
    <cellStyle name="Normal 5 2 3 4 5 2 3" xfId="12833" xr:uid="{5C32F7C9-F026-4BBF-85D8-E7BEA1E9814E}"/>
    <cellStyle name="Normal 5 2 3 4 5 3" xfId="6456" xr:uid="{00000000-0005-0000-0000-0000BC180000}"/>
    <cellStyle name="Normal 5 2 3 4 5 3 2" xfId="14906" xr:uid="{BB7F4F5C-AA19-441A-A17E-459B2007ED59}"/>
    <cellStyle name="Normal 5 2 3 4 5 4" xfId="10688" xr:uid="{3FB3E3CA-81C8-4416-84C8-C5B86F74D338}"/>
    <cellStyle name="Normal 5 2 3 4 6" xfId="2586" xr:uid="{00000000-0005-0000-0000-0000BD180000}"/>
    <cellStyle name="Normal 5 2 3 4 6 2" xfId="6869" xr:uid="{00000000-0005-0000-0000-0000BE180000}"/>
    <cellStyle name="Normal 5 2 3 4 6 2 2" xfId="15319" xr:uid="{64E0F86A-B8B8-4A61-9C39-F6B1CADCB10E}"/>
    <cellStyle name="Normal 5 2 3 4 6 3" xfId="11101" xr:uid="{C5700EAC-5ED2-4D21-8352-2A3838168D2D}"/>
    <cellStyle name="Normal 5 2 3 4 7" xfId="4804" xr:uid="{00000000-0005-0000-0000-0000BF180000}"/>
    <cellStyle name="Normal 5 2 3 4 7 2" xfId="13254" xr:uid="{B5F64A47-B147-46D1-A1AC-A44B5584800E}"/>
    <cellStyle name="Normal 5 2 3 4 8" xfId="9036" xr:uid="{33EC9E40-19A9-468A-AA5A-BC8F9FC5BCB0}"/>
    <cellStyle name="Normal 5 2 3 5" xfId="898" xr:uid="{00000000-0005-0000-0000-0000C0180000}"/>
    <cellStyle name="Normal 5 2 3 5 2" xfId="3133" xr:uid="{00000000-0005-0000-0000-0000C1180000}"/>
    <cellStyle name="Normal 5 2 3 5 2 2" xfId="7355" xr:uid="{00000000-0005-0000-0000-0000C2180000}"/>
    <cellStyle name="Normal 5 2 3 5 2 2 2" xfId="15805" xr:uid="{DA44612C-EBAA-453E-A0D2-46FC68D4C38A}"/>
    <cellStyle name="Normal 5 2 3 5 2 3" xfId="11587" xr:uid="{91DB7CE7-63CD-4FA7-A258-470E8680540B}"/>
    <cellStyle name="Normal 5 2 3 5 3" xfId="5210" xr:uid="{00000000-0005-0000-0000-0000C3180000}"/>
    <cellStyle name="Normal 5 2 3 5 3 2" xfId="13660" xr:uid="{692B6BD3-CB52-4147-9954-CEF9C9B6A613}"/>
    <cellStyle name="Normal 5 2 3 5 4" xfId="9442" xr:uid="{FB579461-CDB4-42C5-9A77-D07FF5F98B68}"/>
    <cellStyle name="Normal 5 2 3 6" xfId="1316" xr:uid="{00000000-0005-0000-0000-0000C4180000}"/>
    <cellStyle name="Normal 5 2 3 6 2" xfId="3546" xr:uid="{00000000-0005-0000-0000-0000C5180000}"/>
    <cellStyle name="Normal 5 2 3 6 2 2" xfId="7768" xr:uid="{00000000-0005-0000-0000-0000C6180000}"/>
    <cellStyle name="Normal 5 2 3 6 2 2 2" xfId="16218" xr:uid="{06810AC0-38B6-4399-B714-4BBDFE842A54}"/>
    <cellStyle name="Normal 5 2 3 6 2 3" xfId="12000" xr:uid="{67B7FC36-0A12-4999-87FA-8171F352842B}"/>
    <cellStyle name="Normal 5 2 3 6 3" xfId="5623" xr:uid="{00000000-0005-0000-0000-0000C7180000}"/>
    <cellStyle name="Normal 5 2 3 6 3 2" xfId="14073" xr:uid="{A43CFC4A-473E-46DE-A623-827F4E01E4F8}"/>
    <cellStyle name="Normal 5 2 3 6 4" xfId="9855" xr:uid="{BD5B14F5-7647-4233-A911-7AB7EBD7B29A}"/>
    <cellStyle name="Normal 5 2 3 7" xfId="1729" xr:uid="{00000000-0005-0000-0000-0000C8180000}"/>
    <cellStyle name="Normal 5 2 3 7 2" xfId="3959" xr:uid="{00000000-0005-0000-0000-0000C9180000}"/>
    <cellStyle name="Normal 5 2 3 7 2 2" xfId="8181" xr:uid="{00000000-0005-0000-0000-0000CA180000}"/>
    <cellStyle name="Normal 5 2 3 7 2 2 2" xfId="16631" xr:uid="{5AB58095-E7AD-40D3-84D2-D9F16350F2C9}"/>
    <cellStyle name="Normal 5 2 3 7 2 3" xfId="12413" xr:uid="{C2780B58-7DC4-496F-BF52-7250EC8B4290}"/>
    <cellStyle name="Normal 5 2 3 7 3" xfId="6036" xr:uid="{00000000-0005-0000-0000-0000CB180000}"/>
    <cellStyle name="Normal 5 2 3 7 3 2" xfId="14486" xr:uid="{AED3C05F-0DA3-4FCE-A118-1B8EEE978817}"/>
    <cellStyle name="Normal 5 2 3 7 4" xfId="10268" xr:uid="{6B2DA4FE-7C46-4F51-8F51-DB934E7932B3}"/>
    <cellStyle name="Normal 5 2 3 8" xfId="2143" xr:uid="{00000000-0005-0000-0000-0000CC180000}"/>
    <cellStyle name="Normal 5 2 3 8 2" xfId="4372" xr:uid="{00000000-0005-0000-0000-0000CD180000}"/>
    <cellStyle name="Normal 5 2 3 8 2 2" xfId="8594" xr:uid="{00000000-0005-0000-0000-0000CE180000}"/>
    <cellStyle name="Normal 5 2 3 8 2 2 2" xfId="17044" xr:uid="{4AA80890-1FE4-4863-9660-07D444BBD137}"/>
    <cellStyle name="Normal 5 2 3 8 2 3" xfId="12826" xr:uid="{FD247518-8E0C-4BF4-A3CF-96000D792E55}"/>
    <cellStyle name="Normal 5 2 3 8 3" xfId="6449" xr:uid="{00000000-0005-0000-0000-0000CF180000}"/>
    <cellStyle name="Normal 5 2 3 8 3 2" xfId="14899" xr:uid="{7737D60D-CEEB-4B3D-9B7A-B274DD6C559A}"/>
    <cellStyle name="Normal 5 2 3 8 4" xfId="10681" xr:uid="{2EE9812F-B41E-4D32-8377-EB8DEC56955D}"/>
    <cellStyle name="Normal 5 2 3 9" xfId="2579" xr:uid="{00000000-0005-0000-0000-0000D0180000}"/>
    <cellStyle name="Normal 5 2 3 9 2" xfId="6862" xr:uid="{00000000-0005-0000-0000-0000D1180000}"/>
    <cellStyle name="Normal 5 2 3 9 2 2" xfId="15312" xr:uid="{81282CBB-C1B8-4C4A-94F2-9CC19527A553}"/>
    <cellStyle name="Normal 5 2 3 9 3" xfId="11094" xr:uid="{2C29A263-B278-4C0C-B8EE-3CD4947F33F9}"/>
    <cellStyle name="Normal 5 2 4" xfId="432" xr:uid="{00000000-0005-0000-0000-0000D2180000}"/>
    <cellStyle name="Normal 5 2 4 10" xfId="9037" xr:uid="{9F9A2B8E-845B-4188-A6E5-A23E03F5C315}"/>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2 2 2" xfId="15815" xr:uid="{5AE4BB7B-0ED6-4A25-AAD7-20B540ADA9E4}"/>
    <cellStyle name="Normal 5 2 4 2 2 2 2 3" xfId="11597" xr:uid="{F3D1C63C-5D49-489B-891C-A3B0B4D5E83E}"/>
    <cellStyle name="Normal 5 2 4 2 2 2 3" xfId="5220" xr:uid="{00000000-0005-0000-0000-0000D8180000}"/>
    <cellStyle name="Normal 5 2 4 2 2 2 3 2" xfId="13670" xr:uid="{F687BE0E-0E9B-4D20-B580-FBA3EB559162}"/>
    <cellStyle name="Normal 5 2 4 2 2 2 4" xfId="9452" xr:uid="{B68A9528-A899-496B-866B-908A61FCF1E7}"/>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2 2 2" xfId="16228" xr:uid="{A459D009-C948-44D3-A06F-C8C9C18ECB70}"/>
    <cellStyle name="Normal 5 2 4 2 2 3 2 3" xfId="12010" xr:uid="{ECE509A7-03D0-42FB-ADB8-62812CAD936A}"/>
    <cellStyle name="Normal 5 2 4 2 2 3 3" xfId="5633" xr:uid="{00000000-0005-0000-0000-0000DC180000}"/>
    <cellStyle name="Normal 5 2 4 2 2 3 3 2" xfId="14083" xr:uid="{44E19655-706C-4059-A53C-00606FD32CCC}"/>
    <cellStyle name="Normal 5 2 4 2 2 3 4" xfId="9865" xr:uid="{E272E960-D0ED-4BD7-A227-FBDE54B03756}"/>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2 2 2" xfId="16641" xr:uid="{AFD7A11F-0500-4C4B-A936-B3B4632A96A6}"/>
    <cellStyle name="Normal 5 2 4 2 2 4 2 3" xfId="12423" xr:uid="{A6646EB0-56A4-42D1-B640-21872E5FE197}"/>
    <cellStyle name="Normal 5 2 4 2 2 4 3" xfId="6046" xr:uid="{00000000-0005-0000-0000-0000E0180000}"/>
    <cellStyle name="Normal 5 2 4 2 2 4 3 2" xfId="14496" xr:uid="{58EBBB98-BBFA-4F0F-95DC-65E338F7F7BF}"/>
    <cellStyle name="Normal 5 2 4 2 2 4 4" xfId="10278" xr:uid="{F3DD58E9-1A4E-4FB0-BDAD-B75CE6B8DA55}"/>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2 2 2" xfId="17054" xr:uid="{258047EC-3F90-4FB0-8F79-5248CFA327BD}"/>
    <cellStyle name="Normal 5 2 4 2 2 5 2 3" xfId="12836" xr:uid="{4FB9522C-6A05-4773-AD46-B1F56FB22525}"/>
    <cellStyle name="Normal 5 2 4 2 2 5 3" xfId="6459" xr:uid="{00000000-0005-0000-0000-0000E4180000}"/>
    <cellStyle name="Normal 5 2 4 2 2 5 3 2" xfId="14909" xr:uid="{5A621DEA-2FE9-4BE2-9B37-26302F8464D8}"/>
    <cellStyle name="Normal 5 2 4 2 2 5 4" xfId="10691" xr:uid="{9040DF7B-C67C-4C8A-B714-D25592313AB3}"/>
    <cellStyle name="Normal 5 2 4 2 2 6" xfId="2589" xr:uid="{00000000-0005-0000-0000-0000E5180000}"/>
    <cellStyle name="Normal 5 2 4 2 2 6 2" xfId="6872" xr:uid="{00000000-0005-0000-0000-0000E6180000}"/>
    <cellStyle name="Normal 5 2 4 2 2 6 2 2" xfId="15322" xr:uid="{6FB5788F-D7C3-4228-88BB-D61E38F77E40}"/>
    <cellStyle name="Normal 5 2 4 2 2 6 3" xfId="11104" xr:uid="{6FF881C1-A18A-4783-B934-A9F2A07ED8E9}"/>
    <cellStyle name="Normal 5 2 4 2 2 7" xfId="4807" xr:uid="{00000000-0005-0000-0000-0000E7180000}"/>
    <cellStyle name="Normal 5 2 4 2 2 7 2" xfId="13257" xr:uid="{B9E158EE-167E-49B6-AF12-787535C26C76}"/>
    <cellStyle name="Normal 5 2 4 2 2 8" xfId="9039" xr:uid="{CEE2C4C4-7609-4781-A9D2-10471DEFF0D1}"/>
    <cellStyle name="Normal 5 2 4 2 3" xfId="907" xr:uid="{00000000-0005-0000-0000-0000E8180000}"/>
    <cellStyle name="Normal 5 2 4 2 3 2" xfId="3142" xr:uid="{00000000-0005-0000-0000-0000E9180000}"/>
    <cellStyle name="Normal 5 2 4 2 3 2 2" xfId="7364" xr:uid="{00000000-0005-0000-0000-0000EA180000}"/>
    <cellStyle name="Normal 5 2 4 2 3 2 2 2" xfId="15814" xr:uid="{3B3CFA46-0F3C-48AA-83D8-283ECEB5B961}"/>
    <cellStyle name="Normal 5 2 4 2 3 2 3" xfId="11596" xr:uid="{A9475024-B38B-43F1-B92B-BABFE8BC6CA0}"/>
    <cellStyle name="Normal 5 2 4 2 3 3" xfId="5219" xr:uid="{00000000-0005-0000-0000-0000EB180000}"/>
    <cellStyle name="Normal 5 2 4 2 3 3 2" xfId="13669" xr:uid="{4FA4961D-C995-4781-85D4-541EE1D94CDE}"/>
    <cellStyle name="Normal 5 2 4 2 3 4" xfId="9451" xr:uid="{4F80A3D3-74B7-42D0-8874-03F21B3319E0}"/>
    <cellStyle name="Normal 5 2 4 2 4" xfId="1325" xr:uid="{00000000-0005-0000-0000-0000EC180000}"/>
    <cellStyle name="Normal 5 2 4 2 4 2" xfId="3555" xr:uid="{00000000-0005-0000-0000-0000ED180000}"/>
    <cellStyle name="Normal 5 2 4 2 4 2 2" xfId="7777" xr:uid="{00000000-0005-0000-0000-0000EE180000}"/>
    <cellStyle name="Normal 5 2 4 2 4 2 2 2" xfId="16227" xr:uid="{5DE56C4D-4381-492F-B455-40E842ACBE13}"/>
    <cellStyle name="Normal 5 2 4 2 4 2 3" xfId="12009" xr:uid="{EBEA7DEC-F48B-42E4-9B09-C3719D71CE50}"/>
    <cellStyle name="Normal 5 2 4 2 4 3" xfId="5632" xr:uid="{00000000-0005-0000-0000-0000EF180000}"/>
    <cellStyle name="Normal 5 2 4 2 4 3 2" xfId="14082" xr:uid="{A4B7EF02-17DF-4BEE-9780-3CC46B76FD65}"/>
    <cellStyle name="Normal 5 2 4 2 4 4" xfId="9864" xr:uid="{4FDBFC23-E2FD-4340-B14D-BB0ECB3E431E}"/>
    <cellStyle name="Normal 5 2 4 2 5" xfId="1738" xr:uid="{00000000-0005-0000-0000-0000F0180000}"/>
    <cellStyle name="Normal 5 2 4 2 5 2" xfId="3968" xr:uid="{00000000-0005-0000-0000-0000F1180000}"/>
    <cellStyle name="Normal 5 2 4 2 5 2 2" xfId="8190" xr:uid="{00000000-0005-0000-0000-0000F2180000}"/>
    <cellStyle name="Normal 5 2 4 2 5 2 2 2" xfId="16640" xr:uid="{3467DC31-CA5C-4C94-976E-A1EB584B0322}"/>
    <cellStyle name="Normal 5 2 4 2 5 2 3" xfId="12422" xr:uid="{A76B276C-13EC-46B9-A22E-C90C558009A6}"/>
    <cellStyle name="Normal 5 2 4 2 5 3" xfId="6045" xr:uid="{00000000-0005-0000-0000-0000F3180000}"/>
    <cellStyle name="Normal 5 2 4 2 5 3 2" xfId="14495" xr:uid="{E3CC3F5E-EADC-425E-9114-98DD7BD17288}"/>
    <cellStyle name="Normal 5 2 4 2 5 4" xfId="10277" xr:uid="{8F21D038-38A1-46CA-BDA2-D71BB7FA407F}"/>
    <cellStyle name="Normal 5 2 4 2 6" xfId="2152" xr:uid="{00000000-0005-0000-0000-0000F4180000}"/>
    <cellStyle name="Normal 5 2 4 2 6 2" xfId="4381" xr:uid="{00000000-0005-0000-0000-0000F5180000}"/>
    <cellStyle name="Normal 5 2 4 2 6 2 2" xfId="8603" xr:uid="{00000000-0005-0000-0000-0000F6180000}"/>
    <cellStyle name="Normal 5 2 4 2 6 2 2 2" xfId="17053" xr:uid="{817004D4-B8BA-4C87-888E-EE4653B50BB6}"/>
    <cellStyle name="Normal 5 2 4 2 6 2 3" xfId="12835" xr:uid="{E8F2CC23-40EA-476B-BD25-DC1EF49566E1}"/>
    <cellStyle name="Normal 5 2 4 2 6 3" xfId="6458" xr:uid="{00000000-0005-0000-0000-0000F7180000}"/>
    <cellStyle name="Normal 5 2 4 2 6 3 2" xfId="14908" xr:uid="{3E2CF401-2F83-4AC0-9C53-803F55626174}"/>
    <cellStyle name="Normal 5 2 4 2 6 4" xfId="10690" xr:uid="{19A90F93-5AC3-4A6F-84CE-A885F7875AF6}"/>
    <cellStyle name="Normal 5 2 4 2 7" xfId="2588" xr:uid="{00000000-0005-0000-0000-0000F8180000}"/>
    <cellStyle name="Normal 5 2 4 2 7 2" xfId="6871" xr:uid="{00000000-0005-0000-0000-0000F9180000}"/>
    <cellStyle name="Normal 5 2 4 2 7 2 2" xfId="15321" xr:uid="{8A18E6E2-70B3-4AEA-AD87-FE944918A63E}"/>
    <cellStyle name="Normal 5 2 4 2 7 3" xfId="11103" xr:uid="{D2D54887-12BE-40AF-BF2F-C6C819CD728F}"/>
    <cellStyle name="Normal 5 2 4 2 8" xfId="4806" xr:uid="{00000000-0005-0000-0000-0000FA180000}"/>
    <cellStyle name="Normal 5 2 4 2 8 2" xfId="13256" xr:uid="{EC4D4251-DBDF-440F-BB77-B0C9F732B026}"/>
    <cellStyle name="Normal 5 2 4 2 9" xfId="9038" xr:uid="{A0EED0E6-2EEF-4B5E-BC58-4F514577BE54}"/>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2 2 2" xfId="15816" xr:uid="{611B0952-4AE0-44B6-BCDC-4DB5ECE98B2F}"/>
    <cellStyle name="Normal 5 2 4 3 2 2 3" xfId="11598" xr:uid="{DF6DEE69-2B7D-4091-8A4C-F4B26392C920}"/>
    <cellStyle name="Normal 5 2 4 3 2 3" xfId="5221" xr:uid="{00000000-0005-0000-0000-0000FF180000}"/>
    <cellStyle name="Normal 5 2 4 3 2 3 2" xfId="13671" xr:uid="{823D9E92-1D8B-4FF6-8904-3D4CD2D727CD}"/>
    <cellStyle name="Normal 5 2 4 3 2 4" xfId="9453" xr:uid="{0E21734F-CC4E-4760-9936-3DCECCB5EC11}"/>
    <cellStyle name="Normal 5 2 4 3 3" xfId="1327" xr:uid="{00000000-0005-0000-0000-000000190000}"/>
    <cellStyle name="Normal 5 2 4 3 3 2" xfId="3557" xr:uid="{00000000-0005-0000-0000-000001190000}"/>
    <cellStyle name="Normal 5 2 4 3 3 2 2" xfId="7779" xr:uid="{00000000-0005-0000-0000-000002190000}"/>
    <cellStyle name="Normal 5 2 4 3 3 2 2 2" xfId="16229" xr:uid="{51B5AC36-1789-4356-9615-70492A6A53EC}"/>
    <cellStyle name="Normal 5 2 4 3 3 2 3" xfId="12011" xr:uid="{A22720C5-47B3-47CA-B68C-9CB55E765828}"/>
    <cellStyle name="Normal 5 2 4 3 3 3" xfId="5634" xr:uid="{00000000-0005-0000-0000-000003190000}"/>
    <cellStyle name="Normal 5 2 4 3 3 3 2" xfId="14084" xr:uid="{6F8E1A31-B686-4B9D-93D1-5A08E6F1F864}"/>
    <cellStyle name="Normal 5 2 4 3 3 4" xfId="9866" xr:uid="{CAE17468-58B0-471B-8A78-A23F7CE40091}"/>
    <cellStyle name="Normal 5 2 4 3 4" xfId="1740" xr:uid="{00000000-0005-0000-0000-000004190000}"/>
    <cellStyle name="Normal 5 2 4 3 4 2" xfId="3970" xr:uid="{00000000-0005-0000-0000-000005190000}"/>
    <cellStyle name="Normal 5 2 4 3 4 2 2" xfId="8192" xr:uid="{00000000-0005-0000-0000-000006190000}"/>
    <cellStyle name="Normal 5 2 4 3 4 2 2 2" xfId="16642" xr:uid="{B700F30A-DD2D-4F1A-83C8-E5051AE1B8B9}"/>
    <cellStyle name="Normal 5 2 4 3 4 2 3" xfId="12424" xr:uid="{AB48178E-2B89-488C-856F-0A57E3FA69BB}"/>
    <cellStyle name="Normal 5 2 4 3 4 3" xfId="6047" xr:uid="{00000000-0005-0000-0000-000007190000}"/>
    <cellStyle name="Normal 5 2 4 3 4 3 2" xfId="14497" xr:uid="{5F0AD618-0969-4060-96C3-0EF966860E5A}"/>
    <cellStyle name="Normal 5 2 4 3 4 4" xfId="10279" xr:uid="{B14410A1-AD7E-4875-9B45-63230DBB89A8}"/>
    <cellStyle name="Normal 5 2 4 3 5" xfId="2154" xr:uid="{00000000-0005-0000-0000-000008190000}"/>
    <cellStyle name="Normal 5 2 4 3 5 2" xfId="4383" xr:uid="{00000000-0005-0000-0000-000009190000}"/>
    <cellStyle name="Normal 5 2 4 3 5 2 2" xfId="8605" xr:uid="{00000000-0005-0000-0000-00000A190000}"/>
    <cellStyle name="Normal 5 2 4 3 5 2 2 2" xfId="17055" xr:uid="{2B325FDE-C05E-4F6B-B32E-6884A4A466E4}"/>
    <cellStyle name="Normal 5 2 4 3 5 2 3" xfId="12837" xr:uid="{3EB51F2B-6A72-49D4-AD50-6BDB18EE46F6}"/>
    <cellStyle name="Normal 5 2 4 3 5 3" xfId="6460" xr:uid="{00000000-0005-0000-0000-00000B190000}"/>
    <cellStyle name="Normal 5 2 4 3 5 3 2" xfId="14910" xr:uid="{3CEEC375-31ED-46AA-8C28-4E0670B1A414}"/>
    <cellStyle name="Normal 5 2 4 3 5 4" xfId="10692" xr:uid="{D863E496-594A-461D-B3CA-364500077032}"/>
    <cellStyle name="Normal 5 2 4 3 6" xfId="2590" xr:uid="{00000000-0005-0000-0000-00000C190000}"/>
    <cellStyle name="Normal 5 2 4 3 6 2" xfId="6873" xr:uid="{00000000-0005-0000-0000-00000D190000}"/>
    <cellStyle name="Normal 5 2 4 3 6 2 2" xfId="15323" xr:uid="{3F2F53AF-2088-4B8F-99D7-517289A9E3B6}"/>
    <cellStyle name="Normal 5 2 4 3 6 3" xfId="11105" xr:uid="{924605E2-2C00-4B42-9149-56C61FBB2C0D}"/>
    <cellStyle name="Normal 5 2 4 3 7" xfId="4808" xr:uid="{00000000-0005-0000-0000-00000E190000}"/>
    <cellStyle name="Normal 5 2 4 3 7 2" xfId="13258" xr:uid="{BA569464-FA5B-4A89-A959-31194786C74C}"/>
    <cellStyle name="Normal 5 2 4 3 8" xfId="9040" xr:uid="{AB3F629E-96BC-4957-814B-F415BF4C15A3}"/>
    <cellStyle name="Normal 5 2 4 4" xfId="906" xr:uid="{00000000-0005-0000-0000-00000F190000}"/>
    <cellStyle name="Normal 5 2 4 4 2" xfId="3141" xr:uid="{00000000-0005-0000-0000-000010190000}"/>
    <cellStyle name="Normal 5 2 4 4 2 2" xfId="7363" xr:uid="{00000000-0005-0000-0000-000011190000}"/>
    <cellStyle name="Normal 5 2 4 4 2 2 2" xfId="15813" xr:uid="{031AD23C-0878-43CE-92B0-1FA4E90B19BD}"/>
    <cellStyle name="Normal 5 2 4 4 2 3" xfId="11595" xr:uid="{C4BA0BE4-02CF-482E-99C1-9D69DDBC5748}"/>
    <cellStyle name="Normal 5 2 4 4 3" xfId="5218" xr:uid="{00000000-0005-0000-0000-000012190000}"/>
    <cellStyle name="Normal 5 2 4 4 3 2" xfId="13668" xr:uid="{B45EEE76-4FCC-442A-A2BC-BCB60843C9EE}"/>
    <cellStyle name="Normal 5 2 4 4 4" xfId="9450" xr:uid="{6A00B1CB-8B49-4981-8636-F8747FA8C792}"/>
    <cellStyle name="Normal 5 2 4 5" xfId="1324" xr:uid="{00000000-0005-0000-0000-000013190000}"/>
    <cellStyle name="Normal 5 2 4 5 2" xfId="3554" xr:uid="{00000000-0005-0000-0000-000014190000}"/>
    <cellStyle name="Normal 5 2 4 5 2 2" xfId="7776" xr:uid="{00000000-0005-0000-0000-000015190000}"/>
    <cellStyle name="Normal 5 2 4 5 2 2 2" xfId="16226" xr:uid="{BEC14422-2DC0-4298-8B75-7AA58AA87B92}"/>
    <cellStyle name="Normal 5 2 4 5 2 3" xfId="12008" xr:uid="{A04AF94F-C987-49F9-98FB-65A783498994}"/>
    <cellStyle name="Normal 5 2 4 5 3" xfId="5631" xr:uid="{00000000-0005-0000-0000-000016190000}"/>
    <cellStyle name="Normal 5 2 4 5 3 2" xfId="14081" xr:uid="{95AF23B4-7120-4900-9958-3F9F9353160B}"/>
    <cellStyle name="Normal 5 2 4 5 4" xfId="9863" xr:uid="{DBF8DA14-69D1-420C-AAE3-1AD0790F5100}"/>
    <cellStyle name="Normal 5 2 4 6" xfId="1737" xr:uid="{00000000-0005-0000-0000-000017190000}"/>
    <cellStyle name="Normal 5 2 4 6 2" xfId="3967" xr:uid="{00000000-0005-0000-0000-000018190000}"/>
    <cellStyle name="Normal 5 2 4 6 2 2" xfId="8189" xr:uid="{00000000-0005-0000-0000-000019190000}"/>
    <cellStyle name="Normal 5 2 4 6 2 2 2" xfId="16639" xr:uid="{A8D17454-905F-486D-9DBF-D52F53FBFE13}"/>
    <cellStyle name="Normal 5 2 4 6 2 3" xfId="12421" xr:uid="{76DDFBDC-CE39-41AA-B40D-CEFBC21D91F9}"/>
    <cellStyle name="Normal 5 2 4 6 3" xfId="6044" xr:uid="{00000000-0005-0000-0000-00001A190000}"/>
    <cellStyle name="Normal 5 2 4 6 3 2" xfId="14494" xr:uid="{B98F9DAA-B6D2-402C-8815-E4DDBABD5D45}"/>
    <cellStyle name="Normal 5 2 4 6 4" xfId="10276" xr:uid="{C1B9883D-F7BF-460E-8657-33CE0C933435}"/>
    <cellStyle name="Normal 5 2 4 7" xfId="2151" xr:uid="{00000000-0005-0000-0000-00001B190000}"/>
    <cellStyle name="Normal 5 2 4 7 2" xfId="4380" xr:uid="{00000000-0005-0000-0000-00001C190000}"/>
    <cellStyle name="Normal 5 2 4 7 2 2" xfId="8602" xr:uid="{00000000-0005-0000-0000-00001D190000}"/>
    <cellStyle name="Normal 5 2 4 7 2 2 2" xfId="17052" xr:uid="{0CA5AF9E-810C-4B9C-915F-7399E443308E}"/>
    <cellStyle name="Normal 5 2 4 7 2 3" xfId="12834" xr:uid="{BE446520-9F2A-4BBA-98AD-F0D5C4E72F18}"/>
    <cellStyle name="Normal 5 2 4 7 3" xfId="6457" xr:uid="{00000000-0005-0000-0000-00001E190000}"/>
    <cellStyle name="Normal 5 2 4 7 3 2" xfId="14907" xr:uid="{A0B99BEE-793A-4D72-99E8-BE3BBDF41171}"/>
    <cellStyle name="Normal 5 2 4 7 4" xfId="10689" xr:uid="{98752D4A-1AB5-47C5-B9CE-AA122BC3FC6E}"/>
    <cellStyle name="Normal 5 2 4 8" xfId="2587" xr:uid="{00000000-0005-0000-0000-00001F190000}"/>
    <cellStyle name="Normal 5 2 4 8 2" xfId="6870" xr:uid="{00000000-0005-0000-0000-000020190000}"/>
    <cellStyle name="Normal 5 2 4 8 2 2" xfId="15320" xr:uid="{4E384485-9291-4BE5-A316-8B83955CA03D}"/>
    <cellStyle name="Normal 5 2 4 8 3" xfId="11102" xr:uid="{931F1E17-189D-471B-8F4A-8C4C849B964E}"/>
    <cellStyle name="Normal 5 2 4 9" xfId="4805" xr:uid="{00000000-0005-0000-0000-000021190000}"/>
    <cellStyle name="Normal 5 2 4 9 2" xfId="13255" xr:uid="{A5446FE7-AD7B-435C-BF5E-FCF7F0F06B7F}"/>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2 2 2" xfId="15818" xr:uid="{6B31C584-2A7D-4B33-BB84-BFF184D53CD1}"/>
    <cellStyle name="Normal 5 2 5 2 2 2 3" xfId="11600" xr:uid="{8C7E67A8-9C01-405A-B64E-15717CF7CEB0}"/>
    <cellStyle name="Normal 5 2 5 2 2 3" xfId="5223" xr:uid="{00000000-0005-0000-0000-000027190000}"/>
    <cellStyle name="Normal 5 2 5 2 2 3 2" xfId="13673" xr:uid="{97045048-502B-49AA-8D8C-D30C9A81E998}"/>
    <cellStyle name="Normal 5 2 5 2 2 4" xfId="9455" xr:uid="{C41345E5-D2C0-495B-ADA4-DC7BC8DF9633}"/>
    <cellStyle name="Normal 5 2 5 2 3" xfId="1329" xr:uid="{00000000-0005-0000-0000-000028190000}"/>
    <cellStyle name="Normal 5 2 5 2 3 2" xfId="3559" xr:uid="{00000000-0005-0000-0000-000029190000}"/>
    <cellStyle name="Normal 5 2 5 2 3 2 2" xfId="7781" xr:uid="{00000000-0005-0000-0000-00002A190000}"/>
    <cellStyle name="Normal 5 2 5 2 3 2 2 2" xfId="16231" xr:uid="{7AF40ACC-73A6-43F6-81B1-9039ADEA36F6}"/>
    <cellStyle name="Normal 5 2 5 2 3 2 3" xfId="12013" xr:uid="{843A0A53-3FF8-412A-85E8-E245692BA834}"/>
    <cellStyle name="Normal 5 2 5 2 3 3" xfId="5636" xr:uid="{00000000-0005-0000-0000-00002B190000}"/>
    <cellStyle name="Normal 5 2 5 2 3 3 2" xfId="14086" xr:uid="{9426F738-19AD-4389-9DB9-0485978F6895}"/>
    <cellStyle name="Normal 5 2 5 2 3 4" xfId="9868" xr:uid="{BE5F3EBC-38FA-4591-9835-EA0864185C51}"/>
    <cellStyle name="Normal 5 2 5 2 4" xfId="1742" xr:uid="{00000000-0005-0000-0000-00002C190000}"/>
    <cellStyle name="Normal 5 2 5 2 4 2" xfId="3972" xr:uid="{00000000-0005-0000-0000-00002D190000}"/>
    <cellStyle name="Normal 5 2 5 2 4 2 2" xfId="8194" xr:uid="{00000000-0005-0000-0000-00002E190000}"/>
    <cellStyle name="Normal 5 2 5 2 4 2 2 2" xfId="16644" xr:uid="{42B0C8F7-9B03-4686-8570-BA0286B1B099}"/>
    <cellStyle name="Normal 5 2 5 2 4 2 3" xfId="12426" xr:uid="{C8976B92-6D94-444F-9294-22929048E957}"/>
    <cellStyle name="Normal 5 2 5 2 4 3" xfId="6049" xr:uid="{00000000-0005-0000-0000-00002F190000}"/>
    <cellStyle name="Normal 5 2 5 2 4 3 2" xfId="14499" xr:uid="{2327B312-E6CD-4F3C-97D5-3BE998FD33C6}"/>
    <cellStyle name="Normal 5 2 5 2 4 4" xfId="10281" xr:uid="{4A5D4F2A-F49F-479D-9369-D554EFDD8BE1}"/>
    <cellStyle name="Normal 5 2 5 2 5" xfId="2156" xr:uid="{00000000-0005-0000-0000-000030190000}"/>
    <cellStyle name="Normal 5 2 5 2 5 2" xfId="4385" xr:uid="{00000000-0005-0000-0000-000031190000}"/>
    <cellStyle name="Normal 5 2 5 2 5 2 2" xfId="8607" xr:uid="{00000000-0005-0000-0000-000032190000}"/>
    <cellStyle name="Normal 5 2 5 2 5 2 2 2" xfId="17057" xr:uid="{43FFF078-9261-479A-B135-073EF834690B}"/>
    <cellStyle name="Normal 5 2 5 2 5 2 3" xfId="12839" xr:uid="{CEB2E7D1-4710-4CB4-8CB4-5018B429B79F}"/>
    <cellStyle name="Normal 5 2 5 2 5 3" xfId="6462" xr:uid="{00000000-0005-0000-0000-000033190000}"/>
    <cellStyle name="Normal 5 2 5 2 5 3 2" xfId="14912" xr:uid="{E7E624C9-D884-492E-BA52-E2AF58D4F8B7}"/>
    <cellStyle name="Normal 5 2 5 2 5 4" xfId="10694" xr:uid="{EBFF60FE-40BA-4429-A76A-E72395D1552C}"/>
    <cellStyle name="Normal 5 2 5 2 6" xfId="2592" xr:uid="{00000000-0005-0000-0000-000034190000}"/>
    <cellStyle name="Normal 5 2 5 2 6 2" xfId="6875" xr:uid="{00000000-0005-0000-0000-000035190000}"/>
    <cellStyle name="Normal 5 2 5 2 6 2 2" xfId="15325" xr:uid="{769F71A6-2904-4EAE-91D2-400D15E1C915}"/>
    <cellStyle name="Normal 5 2 5 2 6 3" xfId="11107" xr:uid="{135D66A7-FC87-417E-9B43-EDCE4EF11B73}"/>
    <cellStyle name="Normal 5 2 5 2 7" xfId="4810" xr:uid="{00000000-0005-0000-0000-000036190000}"/>
    <cellStyle name="Normal 5 2 5 2 7 2" xfId="13260" xr:uid="{E4AE0254-63F4-4EB3-87BE-DF7AE6104076}"/>
    <cellStyle name="Normal 5 2 5 2 8" xfId="9042" xr:uid="{CA2C31D3-4467-4681-AE63-02D3AFE27819}"/>
    <cellStyle name="Normal 5 2 5 3" xfId="910" xr:uid="{00000000-0005-0000-0000-000037190000}"/>
    <cellStyle name="Normal 5 2 5 3 2" xfId="3145" xr:uid="{00000000-0005-0000-0000-000038190000}"/>
    <cellStyle name="Normal 5 2 5 3 2 2" xfId="7367" xr:uid="{00000000-0005-0000-0000-000039190000}"/>
    <cellStyle name="Normal 5 2 5 3 2 2 2" xfId="15817" xr:uid="{A2EC1A7F-9B71-4003-AB43-A2AD75FC4159}"/>
    <cellStyle name="Normal 5 2 5 3 2 3" xfId="11599" xr:uid="{373836C6-40AF-4A0B-A150-F8C0B3B77D1A}"/>
    <cellStyle name="Normal 5 2 5 3 3" xfId="5222" xr:uid="{00000000-0005-0000-0000-00003A190000}"/>
    <cellStyle name="Normal 5 2 5 3 3 2" xfId="13672" xr:uid="{8C9EE636-08AF-4852-96D7-DA919C32DFAC}"/>
    <cellStyle name="Normal 5 2 5 3 4" xfId="9454" xr:uid="{792AF8BD-B9F0-46C7-BACD-36D700404322}"/>
    <cellStyle name="Normal 5 2 5 4" xfId="1328" xr:uid="{00000000-0005-0000-0000-00003B190000}"/>
    <cellStyle name="Normal 5 2 5 4 2" xfId="3558" xr:uid="{00000000-0005-0000-0000-00003C190000}"/>
    <cellStyle name="Normal 5 2 5 4 2 2" xfId="7780" xr:uid="{00000000-0005-0000-0000-00003D190000}"/>
    <cellStyle name="Normal 5 2 5 4 2 2 2" xfId="16230" xr:uid="{0CEC8459-38B0-471C-98CC-5A2FB888561E}"/>
    <cellStyle name="Normal 5 2 5 4 2 3" xfId="12012" xr:uid="{1CCE94E5-8F1F-4FE0-A45E-B89FD3B872FF}"/>
    <cellStyle name="Normal 5 2 5 4 3" xfId="5635" xr:uid="{00000000-0005-0000-0000-00003E190000}"/>
    <cellStyle name="Normal 5 2 5 4 3 2" xfId="14085" xr:uid="{12B95BA4-8AFC-4F9F-B4DF-7268B30A117B}"/>
    <cellStyle name="Normal 5 2 5 4 4" xfId="9867" xr:uid="{863E0C16-92A6-4C40-93B0-0B49BE8C26DC}"/>
    <cellStyle name="Normal 5 2 5 5" xfId="1741" xr:uid="{00000000-0005-0000-0000-00003F190000}"/>
    <cellStyle name="Normal 5 2 5 5 2" xfId="3971" xr:uid="{00000000-0005-0000-0000-000040190000}"/>
    <cellStyle name="Normal 5 2 5 5 2 2" xfId="8193" xr:uid="{00000000-0005-0000-0000-000041190000}"/>
    <cellStyle name="Normal 5 2 5 5 2 2 2" xfId="16643" xr:uid="{B6F77564-A3A9-4715-87AB-258D410AE11F}"/>
    <cellStyle name="Normal 5 2 5 5 2 3" xfId="12425" xr:uid="{81F6EC29-A7E3-4269-AE4C-95666824E9E2}"/>
    <cellStyle name="Normal 5 2 5 5 3" xfId="6048" xr:uid="{00000000-0005-0000-0000-000042190000}"/>
    <cellStyle name="Normal 5 2 5 5 3 2" xfId="14498" xr:uid="{B8710608-373D-45BA-B4B8-23CCD81EC5CA}"/>
    <cellStyle name="Normal 5 2 5 5 4" xfId="10280" xr:uid="{6BAB0585-A09F-4F4D-854D-D931AA0F7C90}"/>
    <cellStyle name="Normal 5 2 5 6" xfId="2155" xr:uid="{00000000-0005-0000-0000-000043190000}"/>
    <cellStyle name="Normal 5 2 5 6 2" xfId="4384" xr:uid="{00000000-0005-0000-0000-000044190000}"/>
    <cellStyle name="Normal 5 2 5 6 2 2" xfId="8606" xr:uid="{00000000-0005-0000-0000-000045190000}"/>
    <cellStyle name="Normal 5 2 5 6 2 2 2" xfId="17056" xr:uid="{22CDD078-F838-4F3C-94F1-A99E213CD5A0}"/>
    <cellStyle name="Normal 5 2 5 6 2 3" xfId="12838" xr:uid="{2EC84C78-46A8-4BF9-A937-D90C7657C4E2}"/>
    <cellStyle name="Normal 5 2 5 6 3" xfId="6461" xr:uid="{00000000-0005-0000-0000-000046190000}"/>
    <cellStyle name="Normal 5 2 5 6 3 2" xfId="14911" xr:uid="{E1EE0A01-A9B7-4D10-AA6D-CFE9F6A7EA7F}"/>
    <cellStyle name="Normal 5 2 5 6 4" xfId="10693" xr:uid="{06EC5D64-5179-4CE6-966F-E2834B8CEFB0}"/>
    <cellStyle name="Normal 5 2 5 7" xfId="2591" xr:uid="{00000000-0005-0000-0000-000047190000}"/>
    <cellStyle name="Normal 5 2 5 7 2" xfId="6874" xr:uid="{00000000-0005-0000-0000-000048190000}"/>
    <cellStyle name="Normal 5 2 5 7 2 2" xfId="15324" xr:uid="{3A8A5402-78E3-4B97-A8F9-96AB8491A01C}"/>
    <cellStyle name="Normal 5 2 5 7 3" xfId="11106" xr:uid="{EAFEB421-8AFC-428F-B6C5-D8D252BABFCF}"/>
    <cellStyle name="Normal 5 2 5 8" xfId="4809" xr:uid="{00000000-0005-0000-0000-000049190000}"/>
    <cellStyle name="Normal 5 2 5 8 2" xfId="13259" xr:uid="{916A3573-84CB-4064-8B3C-0DDE0125C0B7}"/>
    <cellStyle name="Normal 5 2 5 9" xfId="9041" xr:uid="{8A97B876-D9F3-4030-BD3B-FB92AF1214F9}"/>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2 2 2" xfId="15819" xr:uid="{3D7760BD-29AF-4DCA-B9A3-9D9E438998F8}"/>
    <cellStyle name="Normal 5 2 6 2 2 3" xfId="11601" xr:uid="{70F88F72-7C9B-47F9-8AED-B70E3F855C59}"/>
    <cellStyle name="Normal 5 2 6 2 3" xfId="5224" xr:uid="{00000000-0005-0000-0000-00004E190000}"/>
    <cellStyle name="Normal 5 2 6 2 3 2" xfId="13674" xr:uid="{45CD7230-7FD0-43CA-93F5-7126F83F086A}"/>
    <cellStyle name="Normal 5 2 6 2 4" xfId="9456" xr:uid="{1EA70526-A1A5-4770-B7CE-71996BB20A35}"/>
    <cellStyle name="Normal 5 2 6 3" xfId="1330" xr:uid="{00000000-0005-0000-0000-00004F190000}"/>
    <cellStyle name="Normal 5 2 6 3 2" xfId="3560" xr:uid="{00000000-0005-0000-0000-000050190000}"/>
    <cellStyle name="Normal 5 2 6 3 2 2" xfId="7782" xr:uid="{00000000-0005-0000-0000-000051190000}"/>
    <cellStyle name="Normal 5 2 6 3 2 2 2" xfId="16232" xr:uid="{387A0E58-11C1-473A-A77D-AD3EAFDB915A}"/>
    <cellStyle name="Normal 5 2 6 3 2 3" xfId="12014" xr:uid="{DFC988AC-CC56-4D4A-8BD8-593D4BB97DFB}"/>
    <cellStyle name="Normal 5 2 6 3 3" xfId="5637" xr:uid="{00000000-0005-0000-0000-000052190000}"/>
    <cellStyle name="Normal 5 2 6 3 3 2" xfId="14087" xr:uid="{FB3EF93F-3989-48AB-9670-8476806D9F67}"/>
    <cellStyle name="Normal 5 2 6 3 4" xfId="9869" xr:uid="{08869E3B-0D97-4D60-927F-CE7DD360F9F8}"/>
    <cellStyle name="Normal 5 2 6 4" xfId="1743" xr:uid="{00000000-0005-0000-0000-000053190000}"/>
    <cellStyle name="Normal 5 2 6 4 2" xfId="3973" xr:uid="{00000000-0005-0000-0000-000054190000}"/>
    <cellStyle name="Normal 5 2 6 4 2 2" xfId="8195" xr:uid="{00000000-0005-0000-0000-000055190000}"/>
    <cellStyle name="Normal 5 2 6 4 2 2 2" xfId="16645" xr:uid="{DBF094D9-3506-4FF8-9548-AC832C5623BC}"/>
    <cellStyle name="Normal 5 2 6 4 2 3" xfId="12427" xr:uid="{F0E63113-7556-4702-AC73-14F57F1D5E45}"/>
    <cellStyle name="Normal 5 2 6 4 3" xfId="6050" xr:uid="{00000000-0005-0000-0000-000056190000}"/>
    <cellStyle name="Normal 5 2 6 4 3 2" xfId="14500" xr:uid="{05DD76D9-191E-4CB7-91A6-21859D3D91A2}"/>
    <cellStyle name="Normal 5 2 6 4 4" xfId="10282" xr:uid="{F122FA14-8E6C-41C9-9B3C-9CB29DF0F7B2}"/>
    <cellStyle name="Normal 5 2 6 5" xfId="2157" xr:uid="{00000000-0005-0000-0000-000057190000}"/>
    <cellStyle name="Normal 5 2 6 5 2" xfId="4386" xr:uid="{00000000-0005-0000-0000-000058190000}"/>
    <cellStyle name="Normal 5 2 6 5 2 2" xfId="8608" xr:uid="{00000000-0005-0000-0000-000059190000}"/>
    <cellStyle name="Normal 5 2 6 5 2 2 2" xfId="17058" xr:uid="{0BF1031E-A7C5-4267-8C96-4A568D314226}"/>
    <cellStyle name="Normal 5 2 6 5 2 3" xfId="12840" xr:uid="{7F6491C0-7EFE-4D13-BC68-81AECDE68888}"/>
    <cellStyle name="Normal 5 2 6 5 3" xfId="6463" xr:uid="{00000000-0005-0000-0000-00005A190000}"/>
    <cellStyle name="Normal 5 2 6 5 3 2" xfId="14913" xr:uid="{C9E4887A-4E33-4C82-8C2B-2BE7A275AF9C}"/>
    <cellStyle name="Normal 5 2 6 5 4" xfId="10695" xr:uid="{E9D01B1F-FD0F-4897-9283-C6E055BD16C1}"/>
    <cellStyle name="Normal 5 2 6 6" xfId="2593" xr:uid="{00000000-0005-0000-0000-00005B190000}"/>
    <cellStyle name="Normal 5 2 6 6 2" xfId="6876" xr:uid="{00000000-0005-0000-0000-00005C190000}"/>
    <cellStyle name="Normal 5 2 6 6 2 2" xfId="15326" xr:uid="{4BDA49DD-60D0-4C6F-9B50-2524BF0D017F}"/>
    <cellStyle name="Normal 5 2 6 6 3" xfId="11108" xr:uid="{950C117D-0197-466A-AEF4-EEF0142187B4}"/>
    <cellStyle name="Normal 5 2 6 7" xfId="4811" xr:uid="{00000000-0005-0000-0000-00005D190000}"/>
    <cellStyle name="Normal 5 2 6 7 2" xfId="13261" xr:uid="{D1CC027B-E68B-4157-A0C9-0E75F9B2545C}"/>
    <cellStyle name="Normal 5 2 6 8" xfId="9043" xr:uid="{37F5B41A-03AB-48A8-A9F5-C15A0B923D17}"/>
    <cellStyle name="Normal 5 2 7" xfId="881" xr:uid="{00000000-0005-0000-0000-00005E190000}"/>
    <cellStyle name="Normal 5 2 7 2" xfId="3116" xr:uid="{00000000-0005-0000-0000-00005F190000}"/>
    <cellStyle name="Normal 5 2 7 2 2" xfId="7338" xr:uid="{00000000-0005-0000-0000-000060190000}"/>
    <cellStyle name="Normal 5 2 7 2 2 2" xfId="15788" xr:uid="{8A62F831-65FB-48F4-873A-D4CBF3378E9F}"/>
    <cellStyle name="Normal 5 2 7 2 3" xfId="11570" xr:uid="{2B15A7B1-8A63-4AAE-889E-84B4C6CC5E90}"/>
    <cellStyle name="Normal 5 2 7 3" xfId="5193" xr:uid="{00000000-0005-0000-0000-000061190000}"/>
    <cellStyle name="Normal 5 2 7 3 2" xfId="13643" xr:uid="{890E90B1-58EE-45DC-9BED-AFC20139EB8B}"/>
    <cellStyle name="Normal 5 2 7 4" xfId="9425" xr:uid="{9C6CB638-B692-4B59-AB3C-79B974475121}"/>
    <cellStyle name="Normal 5 2 8" xfId="1299" xr:uid="{00000000-0005-0000-0000-000062190000}"/>
    <cellStyle name="Normal 5 2 8 2" xfId="3529" xr:uid="{00000000-0005-0000-0000-000063190000}"/>
    <cellStyle name="Normal 5 2 8 2 2" xfId="7751" xr:uid="{00000000-0005-0000-0000-000064190000}"/>
    <cellStyle name="Normal 5 2 8 2 2 2" xfId="16201" xr:uid="{EBD53187-A243-4726-9A40-D13E805A6557}"/>
    <cellStyle name="Normal 5 2 8 2 3" xfId="11983" xr:uid="{254E5F7A-E304-4568-A040-D6DEC94D7980}"/>
    <cellStyle name="Normal 5 2 8 3" xfId="5606" xr:uid="{00000000-0005-0000-0000-000065190000}"/>
    <cellStyle name="Normal 5 2 8 3 2" xfId="14056" xr:uid="{EDA46662-814E-4AC0-9894-392D5EAE6455}"/>
    <cellStyle name="Normal 5 2 8 4" xfId="9838" xr:uid="{DE0AEA87-A642-438C-880E-ADDCCA23BFCB}"/>
    <cellStyle name="Normal 5 2 9" xfId="1712" xr:uid="{00000000-0005-0000-0000-000066190000}"/>
    <cellStyle name="Normal 5 2 9 2" xfId="3942" xr:uid="{00000000-0005-0000-0000-000067190000}"/>
    <cellStyle name="Normal 5 2 9 2 2" xfId="8164" xr:uid="{00000000-0005-0000-0000-000068190000}"/>
    <cellStyle name="Normal 5 2 9 2 2 2" xfId="16614" xr:uid="{B5D7780D-4E4A-42C2-99EB-E57126FA25E6}"/>
    <cellStyle name="Normal 5 2 9 2 3" xfId="12396" xr:uid="{8BA1CDA5-43AE-4CF7-BF8D-AAAE16AF0C5C}"/>
    <cellStyle name="Normal 5 2 9 3" xfId="6019" xr:uid="{00000000-0005-0000-0000-000069190000}"/>
    <cellStyle name="Normal 5 2 9 3 2" xfId="14469" xr:uid="{9399B336-6AA9-416C-B073-A3B27612C83C}"/>
    <cellStyle name="Normal 5 2 9 4" xfId="10251" xr:uid="{4D16DFA2-AE5F-4454-8EE0-E96D28D05BB8}"/>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2 2 2" xfId="17059" xr:uid="{C2819D80-0D8C-4D34-A48E-8BF9AD9F0207}"/>
    <cellStyle name="Normal 5 3 10 2 3" xfId="12841" xr:uid="{759B937B-2824-41A7-91CF-54F43FA09F39}"/>
    <cellStyle name="Normal 5 3 10 3" xfId="6464" xr:uid="{00000000-0005-0000-0000-00006E190000}"/>
    <cellStyle name="Normal 5 3 10 3 2" xfId="14914" xr:uid="{5EE88881-BAF2-4730-942F-BA937E4E4D6E}"/>
    <cellStyle name="Normal 5 3 10 4" xfId="10696" xr:uid="{BBD1AF43-7D3E-4D27-9F1B-1AD2BC63FFF4}"/>
    <cellStyle name="Normal 5 3 11" xfId="2594" xr:uid="{00000000-0005-0000-0000-00006F190000}"/>
    <cellStyle name="Normal 5 3 11 2" xfId="6877" xr:uid="{00000000-0005-0000-0000-000070190000}"/>
    <cellStyle name="Normal 5 3 11 2 2" xfId="15327" xr:uid="{856E1B74-CFE3-4EA2-A75F-DEF4461BC77F}"/>
    <cellStyle name="Normal 5 3 11 3" xfId="11109" xr:uid="{21F3437E-B926-460C-86D4-CF8CF8E61354}"/>
    <cellStyle name="Normal 5 3 12" xfId="4812" xr:uid="{00000000-0005-0000-0000-000071190000}"/>
    <cellStyle name="Normal 5 3 12 2" xfId="13262" xr:uid="{4113782F-303E-4FEA-9E65-8A1F9A04DF66}"/>
    <cellStyle name="Normal 5 3 13" xfId="9044" xr:uid="{03B385DE-7CD6-43C0-97FC-65F7EC7BA091}"/>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10 2" xfId="13263" xr:uid="{E2404014-F40A-4453-BA85-8FA68617439E}"/>
    <cellStyle name="Normal 5 3 3 11" xfId="9045" xr:uid="{FE86C096-1455-4855-9415-B854E52CCCFC}"/>
    <cellStyle name="Normal 5 3 3 2" xfId="442" xr:uid="{00000000-0005-0000-0000-000076190000}"/>
    <cellStyle name="Normal 5 3 3 2 10" xfId="9046" xr:uid="{002F357D-DE3B-4B1D-80EB-5D7F0CF3FD85}"/>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2 2 2" xfId="15824" xr:uid="{FC218E4E-E840-4565-8F72-13A31C3D281A}"/>
    <cellStyle name="Normal 5 3 3 2 2 2 2 2 3" xfId="11606" xr:uid="{8EFFB05E-5801-4219-966B-81EA06DE208A}"/>
    <cellStyle name="Normal 5 3 3 2 2 2 2 3" xfId="5229" xr:uid="{00000000-0005-0000-0000-00007C190000}"/>
    <cellStyle name="Normal 5 3 3 2 2 2 2 3 2" xfId="13679" xr:uid="{51EE84E0-242A-4FDD-8EFF-6EB710EC111E}"/>
    <cellStyle name="Normal 5 3 3 2 2 2 2 4" xfId="9461" xr:uid="{B5FABE2E-F91D-4E8D-B050-CB3771697B08}"/>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2 2 2" xfId="16237" xr:uid="{5882CD7B-CA53-456D-B190-17E0D197CBEE}"/>
    <cellStyle name="Normal 5 3 3 2 2 2 3 2 3" xfId="12019" xr:uid="{63FD0320-9454-404C-BEC4-ABD9B1F5A39A}"/>
    <cellStyle name="Normal 5 3 3 2 2 2 3 3" xfId="5642" xr:uid="{00000000-0005-0000-0000-000080190000}"/>
    <cellStyle name="Normal 5 3 3 2 2 2 3 3 2" xfId="14092" xr:uid="{442DE145-1836-48B4-A3E3-D2E7617C8526}"/>
    <cellStyle name="Normal 5 3 3 2 2 2 3 4" xfId="9874" xr:uid="{521F9168-9C98-45FC-8E98-2BE94B6F8347}"/>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2 2 2" xfId="16650" xr:uid="{F2F7CFCE-B9A4-4849-8953-5B2ED4519449}"/>
    <cellStyle name="Normal 5 3 3 2 2 2 4 2 3" xfId="12432" xr:uid="{5A1DACE2-DD45-4843-A136-875AA63BD715}"/>
    <cellStyle name="Normal 5 3 3 2 2 2 4 3" xfId="6055" xr:uid="{00000000-0005-0000-0000-000084190000}"/>
    <cellStyle name="Normal 5 3 3 2 2 2 4 3 2" xfId="14505" xr:uid="{E58F4E53-4E57-4820-A187-47326AE43D75}"/>
    <cellStyle name="Normal 5 3 3 2 2 2 4 4" xfId="10287" xr:uid="{10E526BA-BA57-40A4-BD10-C892AE65F23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2 2 2" xfId="17063" xr:uid="{E86F4091-887E-4E16-A710-464307611D69}"/>
    <cellStyle name="Normal 5 3 3 2 2 2 5 2 3" xfId="12845" xr:uid="{B93B8A53-EC60-4383-ADBA-6C7A11479B71}"/>
    <cellStyle name="Normal 5 3 3 2 2 2 5 3" xfId="6468" xr:uid="{00000000-0005-0000-0000-000088190000}"/>
    <cellStyle name="Normal 5 3 3 2 2 2 5 3 2" xfId="14918" xr:uid="{B9E5172C-0E30-400B-AEDC-41DE81545296}"/>
    <cellStyle name="Normal 5 3 3 2 2 2 5 4" xfId="10700" xr:uid="{A2895D20-5294-4AC9-8075-180C3277F1D0}"/>
    <cellStyle name="Normal 5 3 3 2 2 2 6" xfId="2598" xr:uid="{00000000-0005-0000-0000-000089190000}"/>
    <cellStyle name="Normal 5 3 3 2 2 2 6 2" xfId="6881" xr:uid="{00000000-0005-0000-0000-00008A190000}"/>
    <cellStyle name="Normal 5 3 3 2 2 2 6 2 2" xfId="15331" xr:uid="{499E2DC3-8CC2-4EB7-9283-4B590C71CFF1}"/>
    <cellStyle name="Normal 5 3 3 2 2 2 6 3" xfId="11113" xr:uid="{66120436-9C8A-474A-B884-437DFEE95C67}"/>
    <cellStyle name="Normal 5 3 3 2 2 2 7" xfId="4816" xr:uid="{00000000-0005-0000-0000-00008B190000}"/>
    <cellStyle name="Normal 5 3 3 2 2 2 7 2" xfId="13266" xr:uid="{E49F6A0E-6DDA-498E-98F3-3EDAD06FD9A3}"/>
    <cellStyle name="Normal 5 3 3 2 2 2 8" xfId="9048" xr:uid="{D6CB998B-72E7-45B3-AE15-C1B4DBEBE3B7}"/>
    <cellStyle name="Normal 5 3 3 2 2 3" xfId="917" xr:uid="{00000000-0005-0000-0000-00008C190000}"/>
    <cellStyle name="Normal 5 3 3 2 2 3 2" xfId="3151" xr:uid="{00000000-0005-0000-0000-00008D190000}"/>
    <cellStyle name="Normal 5 3 3 2 2 3 2 2" xfId="7373" xr:uid="{00000000-0005-0000-0000-00008E190000}"/>
    <cellStyle name="Normal 5 3 3 2 2 3 2 2 2" xfId="15823" xr:uid="{A2437F09-7A66-40A7-902E-3B50D44384D8}"/>
    <cellStyle name="Normal 5 3 3 2 2 3 2 3" xfId="11605" xr:uid="{D7B63FCD-644C-4AAA-BF87-98895D43B00A}"/>
    <cellStyle name="Normal 5 3 3 2 2 3 3" xfId="5228" xr:uid="{00000000-0005-0000-0000-00008F190000}"/>
    <cellStyle name="Normal 5 3 3 2 2 3 3 2" xfId="13678" xr:uid="{E65D3E7F-4EAF-4600-8101-24082B355643}"/>
    <cellStyle name="Normal 5 3 3 2 2 3 4" xfId="9460" xr:uid="{D98068ED-E1D2-4B80-BB48-0E9B8C0267A1}"/>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2 2 2" xfId="16236" xr:uid="{8D2077B5-2A54-498B-A710-0FDE7DED27C3}"/>
    <cellStyle name="Normal 5 3 3 2 2 4 2 3" xfId="12018" xr:uid="{A18576BA-D5F9-488F-8DE9-CA269DBBABF2}"/>
    <cellStyle name="Normal 5 3 3 2 2 4 3" xfId="5641" xr:uid="{00000000-0005-0000-0000-000093190000}"/>
    <cellStyle name="Normal 5 3 3 2 2 4 3 2" xfId="14091" xr:uid="{C27E232D-BAAC-4A76-A2ED-212EE9B2584A}"/>
    <cellStyle name="Normal 5 3 3 2 2 4 4" xfId="9873" xr:uid="{FBD12467-044D-4CC7-87C6-40A5C5379F55}"/>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2 2 2" xfId="16649" xr:uid="{47742CF8-FAC1-4F89-8970-32120ACB4C5E}"/>
    <cellStyle name="Normal 5 3 3 2 2 5 2 3" xfId="12431" xr:uid="{C8A5A3EE-A670-4DDF-AA8C-18349E723108}"/>
    <cellStyle name="Normal 5 3 3 2 2 5 3" xfId="6054" xr:uid="{00000000-0005-0000-0000-000097190000}"/>
    <cellStyle name="Normal 5 3 3 2 2 5 3 2" xfId="14504" xr:uid="{CC9E47CF-0DFF-46FB-B808-10BE81D800BF}"/>
    <cellStyle name="Normal 5 3 3 2 2 5 4" xfId="10286" xr:uid="{C5092410-8C78-45AC-981C-539C4D8DB1E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2 2 2" xfId="17062" xr:uid="{5B2C5F1E-2C96-43F6-9D58-F25A14E331E9}"/>
    <cellStyle name="Normal 5 3 3 2 2 6 2 3" xfId="12844" xr:uid="{AA0FFB05-95CC-4829-8B1B-42B8B905D55C}"/>
    <cellStyle name="Normal 5 3 3 2 2 6 3" xfId="6467" xr:uid="{00000000-0005-0000-0000-00009B190000}"/>
    <cellStyle name="Normal 5 3 3 2 2 6 3 2" xfId="14917" xr:uid="{067332F6-3A04-450A-B2C3-229C6F486E99}"/>
    <cellStyle name="Normal 5 3 3 2 2 6 4" xfId="10699" xr:uid="{3658902E-EE39-48FE-A597-78B658682CFF}"/>
    <cellStyle name="Normal 5 3 3 2 2 7" xfId="2597" xr:uid="{00000000-0005-0000-0000-00009C190000}"/>
    <cellStyle name="Normal 5 3 3 2 2 7 2" xfId="6880" xr:uid="{00000000-0005-0000-0000-00009D190000}"/>
    <cellStyle name="Normal 5 3 3 2 2 7 2 2" xfId="15330" xr:uid="{377277A0-DC68-44ED-87F1-10D0D189069D}"/>
    <cellStyle name="Normal 5 3 3 2 2 7 3" xfId="11112" xr:uid="{8050AA88-67C0-4E0E-A30B-86A441336074}"/>
    <cellStyle name="Normal 5 3 3 2 2 8" xfId="4815" xr:uid="{00000000-0005-0000-0000-00009E190000}"/>
    <cellStyle name="Normal 5 3 3 2 2 8 2" xfId="13265" xr:uid="{11783BCD-43CC-42F9-AAB1-C60E5C352888}"/>
    <cellStyle name="Normal 5 3 3 2 2 9" xfId="9047" xr:uid="{F86C43BB-FCEB-46BC-888D-93092539BCF6}"/>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2 2 2" xfId="15825" xr:uid="{F7C47A47-5633-4682-8653-662BE35F0CD6}"/>
    <cellStyle name="Normal 5 3 3 2 3 2 2 3" xfId="11607" xr:uid="{CDF9B6D4-CFCF-416E-8829-52F09B48557C}"/>
    <cellStyle name="Normal 5 3 3 2 3 2 3" xfId="5230" xr:uid="{00000000-0005-0000-0000-0000A3190000}"/>
    <cellStyle name="Normal 5 3 3 2 3 2 3 2" xfId="13680" xr:uid="{881F192A-B7C7-4787-8D67-03DDFA3A412D}"/>
    <cellStyle name="Normal 5 3 3 2 3 2 4" xfId="9462" xr:uid="{6BB076D9-996C-415B-BD3B-37163EFA3F61}"/>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2 2 2" xfId="16238" xr:uid="{16631E00-BFA0-406D-B6BC-73EC947CF566}"/>
    <cellStyle name="Normal 5 3 3 2 3 3 2 3" xfId="12020" xr:uid="{6274B6D1-324E-4798-8C5F-DFAC1B9DF2C7}"/>
    <cellStyle name="Normal 5 3 3 2 3 3 3" xfId="5643" xr:uid="{00000000-0005-0000-0000-0000A7190000}"/>
    <cellStyle name="Normal 5 3 3 2 3 3 3 2" xfId="14093" xr:uid="{1D5A1F2A-CE7F-4556-B9ED-39ED11DEF9E7}"/>
    <cellStyle name="Normal 5 3 3 2 3 3 4" xfId="9875" xr:uid="{3BF6211D-B94B-4926-A0C6-BB193F900F13}"/>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2 2 2" xfId="16651" xr:uid="{2322EF02-A939-463A-8936-FBCCD3F0DB4C}"/>
    <cellStyle name="Normal 5 3 3 2 3 4 2 3" xfId="12433" xr:uid="{0D8A0E98-F500-41A4-A56F-C19B87CDB857}"/>
    <cellStyle name="Normal 5 3 3 2 3 4 3" xfId="6056" xr:uid="{00000000-0005-0000-0000-0000AB190000}"/>
    <cellStyle name="Normal 5 3 3 2 3 4 3 2" xfId="14506" xr:uid="{D2026BE3-A12A-4A50-AC2F-A84DFBB1A129}"/>
    <cellStyle name="Normal 5 3 3 2 3 4 4" xfId="10288" xr:uid="{47964A7D-9847-41DB-B841-D916822090BD}"/>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2 2 2" xfId="17064" xr:uid="{8D46E9D5-7A61-4CF2-9354-87424120D740}"/>
    <cellStyle name="Normal 5 3 3 2 3 5 2 3" xfId="12846" xr:uid="{11B5EC18-15C7-4E19-864D-8F3D70282B30}"/>
    <cellStyle name="Normal 5 3 3 2 3 5 3" xfId="6469" xr:uid="{00000000-0005-0000-0000-0000AF190000}"/>
    <cellStyle name="Normal 5 3 3 2 3 5 3 2" xfId="14919" xr:uid="{6D1BF072-9845-451A-8CFA-344C388AD7C9}"/>
    <cellStyle name="Normal 5 3 3 2 3 5 4" xfId="10701" xr:uid="{659FD0C4-C13C-42D0-BD6E-5799278DF68C}"/>
    <cellStyle name="Normal 5 3 3 2 3 6" xfId="2599" xr:uid="{00000000-0005-0000-0000-0000B0190000}"/>
    <cellStyle name="Normal 5 3 3 2 3 6 2" xfId="6882" xr:uid="{00000000-0005-0000-0000-0000B1190000}"/>
    <cellStyle name="Normal 5 3 3 2 3 6 2 2" xfId="15332" xr:uid="{0E84E0B6-07BD-4A29-9F7B-E5A4DD51CBFF}"/>
    <cellStyle name="Normal 5 3 3 2 3 6 3" xfId="11114" xr:uid="{AF3343F7-E5B5-418A-B9E5-588C2A00D94B}"/>
    <cellStyle name="Normal 5 3 3 2 3 7" xfId="4817" xr:uid="{00000000-0005-0000-0000-0000B2190000}"/>
    <cellStyle name="Normal 5 3 3 2 3 7 2" xfId="13267" xr:uid="{D622C4CD-E79D-4E76-BF86-34D1ABE6D689}"/>
    <cellStyle name="Normal 5 3 3 2 3 8" xfId="9049" xr:uid="{0C5315AE-578E-4637-96ED-5BCFF562FE37}"/>
    <cellStyle name="Normal 5 3 3 2 4" xfId="916" xr:uid="{00000000-0005-0000-0000-0000B3190000}"/>
    <cellStyle name="Normal 5 3 3 2 4 2" xfId="3150" xr:uid="{00000000-0005-0000-0000-0000B4190000}"/>
    <cellStyle name="Normal 5 3 3 2 4 2 2" xfId="7372" xr:uid="{00000000-0005-0000-0000-0000B5190000}"/>
    <cellStyle name="Normal 5 3 3 2 4 2 2 2" xfId="15822" xr:uid="{84F54AE4-C7DF-4000-A036-F0E8358BD62B}"/>
    <cellStyle name="Normal 5 3 3 2 4 2 3" xfId="11604" xr:uid="{26710990-5C8E-4F22-B2BA-E7118BB0E0CA}"/>
    <cellStyle name="Normal 5 3 3 2 4 3" xfId="5227" xr:uid="{00000000-0005-0000-0000-0000B6190000}"/>
    <cellStyle name="Normal 5 3 3 2 4 3 2" xfId="13677" xr:uid="{4D26BBD8-1C99-4098-A3F6-E2511CFE119C}"/>
    <cellStyle name="Normal 5 3 3 2 4 4" xfId="9459" xr:uid="{1F168402-5564-4DE8-A81D-528913FB4EEE}"/>
    <cellStyle name="Normal 5 3 3 2 5" xfId="1333" xr:uid="{00000000-0005-0000-0000-0000B7190000}"/>
    <cellStyle name="Normal 5 3 3 2 5 2" xfId="3563" xr:uid="{00000000-0005-0000-0000-0000B8190000}"/>
    <cellStyle name="Normal 5 3 3 2 5 2 2" xfId="7785" xr:uid="{00000000-0005-0000-0000-0000B9190000}"/>
    <cellStyle name="Normal 5 3 3 2 5 2 2 2" xfId="16235" xr:uid="{1EA8114B-7CA9-4497-8479-989E4955092B}"/>
    <cellStyle name="Normal 5 3 3 2 5 2 3" xfId="12017" xr:uid="{DA086D63-BE98-40D7-9951-A3A756752D4C}"/>
    <cellStyle name="Normal 5 3 3 2 5 3" xfId="5640" xr:uid="{00000000-0005-0000-0000-0000BA190000}"/>
    <cellStyle name="Normal 5 3 3 2 5 3 2" xfId="14090" xr:uid="{F1891D65-F427-4B36-B1A4-75544E047485}"/>
    <cellStyle name="Normal 5 3 3 2 5 4" xfId="9872" xr:uid="{E5AE95C9-12F3-477F-B00A-0AC96E72EEE2}"/>
    <cellStyle name="Normal 5 3 3 2 6" xfId="1746" xr:uid="{00000000-0005-0000-0000-0000BB190000}"/>
    <cellStyle name="Normal 5 3 3 2 6 2" xfId="3976" xr:uid="{00000000-0005-0000-0000-0000BC190000}"/>
    <cellStyle name="Normal 5 3 3 2 6 2 2" xfId="8198" xr:uid="{00000000-0005-0000-0000-0000BD190000}"/>
    <cellStyle name="Normal 5 3 3 2 6 2 2 2" xfId="16648" xr:uid="{35D3B22B-2918-4F6D-AE9B-54A936E647BF}"/>
    <cellStyle name="Normal 5 3 3 2 6 2 3" xfId="12430" xr:uid="{F998AD9F-988D-4813-97C0-2B8826C635B0}"/>
    <cellStyle name="Normal 5 3 3 2 6 3" xfId="6053" xr:uid="{00000000-0005-0000-0000-0000BE190000}"/>
    <cellStyle name="Normal 5 3 3 2 6 3 2" xfId="14503" xr:uid="{82881E54-F38B-428A-A817-220394DA4203}"/>
    <cellStyle name="Normal 5 3 3 2 6 4" xfId="10285" xr:uid="{DE7C83CC-730B-4CF9-8783-37F72B9857D7}"/>
    <cellStyle name="Normal 5 3 3 2 7" xfId="2160" xr:uid="{00000000-0005-0000-0000-0000BF190000}"/>
    <cellStyle name="Normal 5 3 3 2 7 2" xfId="4389" xr:uid="{00000000-0005-0000-0000-0000C0190000}"/>
    <cellStyle name="Normal 5 3 3 2 7 2 2" xfId="8611" xr:uid="{00000000-0005-0000-0000-0000C1190000}"/>
    <cellStyle name="Normal 5 3 3 2 7 2 2 2" xfId="17061" xr:uid="{FD6BBE5A-63BC-47E0-A440-E8D7F3DA89D2}"/>
    <cellStyle name="Normal 5 3 3 2 7 2 3" xfId="12843" xr:uid="{20711D10-B947-41F4-8BFA-68062F6913AF}"/>
    <cellStyle name="Normal 5 3 3 2 7 3" xfId="6466" xr:uid="{00000000-0005-0000-0000-0000C2190000}"/>
    <cellStyle name="Normal 5 3 3 2 7 3 2" xfId="14916" xr:uid="{7D1B44B5-603B-4E08-98E3-02B776CEAF5F}"/>
    <cellStyle name="Normal 5 3 3 2 7 4" xfId="10698" xr:uid="{67336487-5214-4E28-8C92-CD2CE2B85CBB}"/>
    <cellStyle name="Normal 5 3 3 2 8" xfId="2596" xr:uid="{00000000-0005-0000-0000-0000C3190000}"/>
    <cellStyle name="Normal 5 3 3 2 8 2" xfId="6879" xr:uid="{00000000-0005-0000-0000-0000C4190000}"/>
    <cellStyle name="Normal 5 3 3 2 8 2 2" xfId="15329" xr:uid="{FFCB33D6-D196-4820-9045-5D7FD3591137}"/>
    <cellStyle name="Normal 5 3 3 2 8 3" xfId="11111" xr:uid="{E733AF97-5607-4617-83BC-DBFD435D040F}"/>
    <cellStyle name="Normal 5 3 3 2 9" xfId="4814" xr:uid="{00000000-0005-0000-0000-0000C5190000}"/>
    <cellStyle name="Normal 5 3 3 2 9 2" xfId="13264" xr:uid="{7B41BA1D-C6E4-48CF-A885-DFDD04C97B7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2 2 2" xfId="15827" xr:uid="{C9A46ADD-9704-454E-8F25-4BBC646FDA81}"/>
    <cellStyle name="Normal 5 3 3 3 2 2 2 3" xfId="11609" xr:uid="{DBA38ADB-0D33-4C35-A757-78B45528079D}"/>
    <cellStyle name="Normal 5 3 3 3 2 2 3" xfId="5232" xr:uid="{00000000-0005-0000-0000-0000CB190000}"/>
    <cellStyle name="Normal 5 3 3 3 2 2 3 2" xfId="13682" xr:uid="{680AE4AE-9EC5-4D2D-BB15-99642E2AE3C7}"/>
    <cellStyle name="Normal 5 3 3 3 2 2 4" xfId="9464" xr:uid="{252BFF28-38E7-4731-AB87-5FDEC532F712}"/>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2 2 2" xfId="16240" xr:uid="{4B7CAEE1-6E55-43BE-B1E0-1698642EC5F5}"/>
    <cellStyle name="Normal 5 3 3 3 2 3 2 3" xfId="12022" xr:uid="{DD6CBBBE-C7F6-4729-8313-0E7AC3DA747D}"/>
    <cellStyle name="Normal 5 3 3 3 2 3 3" xfId="5645" xr:uid="{00000000-0005-0000-0000-0000CF190000}"/>
    <cellStyle name="Normal 5 3 3 3 2 3 3 2" xfId="14095" xr:uid="{8DC86D40-227D-4BD8-985A-278A0512DB18}"/>
    <cellStyle name="Normal 5 3 3 3 2 3 4" xfId="9877" xr:uid="{5C73791C-747B-4691-8B5E-A1D58CE7C72C}"/>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2 2 2" xfId="16653" xr:uid="{B92C28C5-6D4E-4368-AFD7-DDBC34F1430E}"/>
    <cellStyle name="Normal 5 3 3 3 2 4 2 3" xfId="12435" xr:uid="{4EBE3F7A-17C4-42DC-9FD9-5D5F75FE19A5}"/>
    <cellStyle name="Normal 5 3 3 3 2 4 3" xfId="6058" xr:uid="{00000000-0005-0000-0000-0000D3190000}"/>
    <cellStyle name="Normal 5 3 3 3 2 4 3 2" xfId="14508" xr:uid="{F2A07669-C876-4D5E-87FD-0BCB0B37E788}"/>
    <cellStyle name="Normal 5 3 3 3 2 4 4" xfId="10290" xr:uid="{D420C8AA-6627-4A5A-A777-85D4169461BB}"/>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2 2 2" xfId="17066" xr:uid="{E414F64B-1205-4047-B7E6-2FEF1EE23CFD}"/>
    <cellStyle name="Normal 5 3 3 3 2 5 2 3" xfId="12848" xr:uid="{8C0807F1-11AE-45C9-A6E0-85A6DBB77283}"/>
    <cellStyle name="Normal 5 3 3 3 2 5 3" xfId="6471" xr:uid="{00000000-0005-0000-0000-0000D7190000}"/>
    <cellStyle name="Normal 5 3 3 3 2 5 3 2" xfId="14921" xr:uid="{17108F98-DEAA-4A09-A0A6-11288F1A75D6}"/>
    <cellStyle name="Normal 5 3 3 3 2 5 4" xfId="10703" xr:uid="{A872DCC9-BC27-4E71-B16C-AB19074D5AF8}"/>
    <cellStyle name="Normal 5 3 3 3 2 6" xfId="2601" xr:uid="{00000000-0005-0000-0000-0000D8190000}"/>
    <cellStyle name="Normal 5 3 3 3 2 6 2" xfId="6884" xr:uid="{00000000-0005-0000-0000-0000D9190000}"/>
    <cellStyle name="Normal 5 3 3 3 2 6 2 2" xfId="15334" xr:uid="{E663EF70-0270-4015-808D-89019956FD21}"/>
    <cellStyle name="Normal 5 3 3 3 2 6 3" xfId="11116" xr:uid="{8B8787A5-C0C5-4157-B743-F029A480F5AA}"/>
    <cellStyle name="Normal 5 3 3 3 2 7" xfId="4819" xr:uid="{00000000-0005-0000-0000-0000DA190000}"/>
    <cellStyle name="Normal 5 3 3 3 2 7 2" xfId="13269" xr:uid="{072FF8D0-91A2-4C7A-9F52-CDA8BD427BBD}"/>
    <cellStyle name="Normal 5 3 3 3 2 8" xfId="9051" xr:uid="{7C9AF64B-088B-4741-AF26-076C1AC41AA0}"/>
    <cellStyle name="Normal 5 3 3 3 3" xfId="920" xr:uid="{00000000-0005-0000-0000-0000DB190000}"/>
    <cellStyle name="Normal 5 3 3 3 3 2" xfId="3154" xr:uid="{00000000-0005-0000-0000-0000DC190000}"/>
    <cellStyle name="Normal 5 3 3 3 3 2 2" xfId="7376" xr:uid="{00000000-0005-0000-0000-0000DD190000}"/>
    <cellStyle name="Normal 5 3 3 3 3 2 2 2" xfId="15826" xr:uid="{878E3E56-1BB8-4152-9EB3-E92749FC6476}"/>
    <cellStyle name="Normal 5 3 3 3 3 2 3" xfId="11608" xr:uid="{EAE92066-C88A-4876-8048-C48F91250D69}"/>
    <cellStyle name="Normal 5 3 3 3 3 3" xfId="5231" xr:uid="{00000000-0005-0000-0000-0000DE190000}"/>
    <cellStyle name="Normal 5 3 3 3 3 3 2" xfId="13681" xr:uid="{FBB19E62-1703-433A-B8C4-3BB7F7E25F90}"/>
    <cellStyle name="Normal 5 3 3 3 3 4" xfId="9463" xr:uid="{AF15EE00-73E1-4D87-A18A-52B03461FDE2}"/>
    <cellStyle name="Normal 5 3 3 3 4" xfId="1337" xr:uid="{00000000-0005-0000-0000-0000DF190000}"/>
    <cellStyle name="Normal 5 3 3 3 4 2" xfId="3567" xr:uid="{00000000-0005-0000-0000-0000E0190000}"/>
    <cellStyle name="Normal 5 3 3 3 4 2 2" xfId="7789" xr:uid="{00000000-0005-0000-0000-0000E1190000}"/>
    <cellStyle name="Normal 5 3 3 3 4 2 2 2" xfId="16239" xr:uid="{3B8833D6-30E1-4928-8003-B3563BCAAB21}"/>
    <cellStyle name="Normal 5 3 3 3 4 2 3" xfId="12021" xr:uid="{AE33C238-16AE-453F-98CA-F60E99E2D9C9}"/>
    <cellStyle name="Normal 5 3 3 3 4 3" xfId="5644" xr:uid="{00000000-0005-0000-0000-0000E2190000}"/>
    <cellStyle name="Normal 5 3 3 3 4 3 2" xfId="14094" xr:uid="{3EF9E3F6-CF9D-4BC9-B3BA-0033D18C8774}"/>
    <cellStyle name="Normal 5 3 3 3 4 4" xfId="9876" xr:uid="{17CE7969-7C5A-4861-9BA0-60B69C157106}"/>
    <cellStyle name="Normal 5 3 3 3 5" xfId="1750" xr:uid="{00000000-0005-0000-0000-0000E3190000}"/>
    <cellStyle name="Normal 5 3 3 3 5 2" xfId="3980" xr:uid="{00000000-0005-0000-0000-0000E4190000}"/>
    <cellStyle name="Normal 5 3 3 3 5 2 2" xfId="8202" xr:uid="{00000000-0005-0000-0000-0000E5190000}"/>
    <cellStyle name="Normal 5 3 3 3 5 2 2 2" xfId="16652" xr:uid="{D593CA29-12C4-4766-9B03-F83EDD665205}"/>
    <cellStyle name="Normal 5 3 3 3 5 2 3" xfId="12434" xr:uid="{28C9A153-03BE-4417-BE96-5B3CFED9458D}"/>
    <cellStyle name="Normal 5 3 3 3 5 3" xfId="6057" xr:uid="{00000000-0005-0000-0000-0000E6190000}"/>
    <cellStyle name="Normal 5 3 3 3 5 3 2" xfId="14507" xr:uid="{CCDD40F1-007F-4779-BB82-E41A1E32EFDD}"/>
    <cellStyle name="Normal 5 3 3 3 5 4" xfId="10289" xr:uid="{9FDD84FB-3629-4E44-BDF9-6B852B831E90}"/>
    <cellStyle name="Normal 5 3 3 3 6" xfId="2164" xr:uid="{00000000-0005-0000-0000-0000E7190000}"/>
    <cellStyle name="Normal 5 3 3 3 6 2" xfId="4393" xr:uid="{00000000-0005-0000-0000-0000E8190000}"/>
    <cellStyle name="Normal 5 3 3 3 6 2 2" xfId="8615" xr:uid="{00000000-0005-0000-0000-0000E9190000}"/>
    <cellStyle name="Normal 5 3 3 3 6 2 2 2" xfId="17065" xr:uid="{1386D592-11C9-45F6-918C-432BA0988BFB}"/>
    <cellStyle name="Normal 5 3 3 3 6 2 3" xfId="12847" xr:uid="{04E18F8B-9D38-4202-8972-C68D569492EB}"/>
    <cellStyle name="Normal 5 3 3 3 6 3" xfId="6470" xr:uid="{00000000-0005-0000-0000-0000EA190000}"/>
    <cellStyle name="Normal 5 3 3 3 6 3 2" xfId="14920" xr:uid="{5F9A77AE-4C9C-47D3-A8D8-B9E9D7D94DCD}"/>
    <cellStyle name="Normal 5 3 3 3 6 4" xfId="10702" xr:uid="{EBB45DD1-6F5B-437C-8DEE-0BE3B1847F8F}"/>
    <cellStyle name="Normal 5 3 3 3 7" xfId="2600" xr:uid="{00000000-0005-0000-0000-0000EB190000}"/>
    <cellStyle name="Normal 5 3 3 3 7 2" xfId="6883" xr:uid="{00000000-0005-0000-0000-0000EC190000}"/>
    <cellStyle name="Normal 5 3 3 3 7 2 2" xfId="15333" xr:uid="{FECDB7CC-C650-41F8-BFDD-AF942C3FBF1F}"/>
    <cellStyle name="Normal 5 3 3 3 7 3" xfId="11115" xr:uid="{77A31007-F996-4F63-9F88-2FCB71102B1E}"/>
    <cellStyle name="Normal 5 3 3 3 8" xfId="4818" xr:uid="{00000000-0005-0000-0000-0000ED190000}"/>
    <cellStyle name="Normal 5 3 3 3 8 2" xfId="13268" xr:uid="{329B54AD-272E-466F-ADDF-A8898AC6C463}"/>
    <cellStyle name="Normal 5 3 3 3 9" xfId="9050" xr:uid="{2BD87EBB-E381-45EE-B35B-AC5051C151F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2 2 2" xfId="15828" xr:uid="{3548F897-DA7F-48FD-8698-FAF5A95D8C08}"/>
    <cellStyle name="Normal 5 3 3 4 2 2 3" xfId="11610" xr:uid="{0D88F627-927B-4478-9B34-4227D43EA62B}"/>
    <cellStyle name="Normal 5 3 3 4 2 3" xfId="5233" xr:uid="{00000000-0005-0000-0000-0000F2190000}"/>
    <cellStyle name="Normal 5 3 3 4 2 3 2" xfId="13683" xr:uid="{9C975144-A048-4B0F-9714-09BE297A3D14}"/>
    <cellStyle name="Normal 5 3 3 4 2 4" xfId="9465" xr:uid="{8BF88C5F-3DDB-4F2A-A0AE-F585DCC3DC6C}"/>
    <cellStyle name="Normal 5 3 3 4 3" xfId="1339" xr:uid="{00000000-0005-0000-0000-0000F3190000}"/>
    <cellStyle name="Normal 5 3 3 4 3 2" xfId="3569" xr:uid="{00000000-0005-0000-0000-0000F4190000}"/>
    <cellStyle name="Normal 5 3 3 4 3 2 2" xfId="7791" xr:uid="{00000000-0005-0000-0000-0000F5190000}"/>
    <cellStyle name="Normal 5 3 3 4 3 2 2 2" xfId="16241" xr:uid="{9E2B4D5A-4F15-46D3-94AE-59D62E401E3F}"/>
    <cellStyle name="Normal 5 3 3 4 3 2 3" xfId="12023" xr:uid="{4AE5BF12-E835-4F50-8C83-F62F66C3E7CD}"/>
    <cellStyle name="Normal 5 3 3 4 3 3" xfId="5646" xr:uid="{00000000-0005-0000-0000-0000F6190000}"/>
    <cellStyle name="Normal 5 3 3 4 3 3 2" xfId="14096" xr:uid="{B6BEDA02-22F5-4A6C-8757-E2ADC77390B2}"/>
    <cellStyle name="Normal 5 3 3 4 3 4" xfId="9878" xr:uid="{B00D80FD-B90A-45B8-8824-823F9C6C8D02}"/>
    <cellStyle name="Normal 5 3 3 4 4" xfId="1752" xr:uid="{00000000-0005-0000-0000-0000F7190000}"/>
    <cellStyle name="Normal 5 3 3 4 4 2" xfId="3982" xr:uid="{00000000-0005-0000-0000-0000F8190000}"/>
    <cellStyle name="Normal 5 3 3 4 4 2 2" xfId="8204" xr:uid="{00000000-0005-0000-0000-0000F9190000}"/>
    <cellStyle name="Normal 5 3 3 4 4 2 2 2" xfId="16654" xr:uid="{C43C5A33-2FA4-4063-84DC-8073569EB57C}"/>
    <cellStyle name="Normal 5 3 3 4 4 2 3" xfId="12436" xr:uid="{816A8026-D61A-4121-8B89-D649A68282AC}"/>
    <cellStyle name="Normal 5 3 3 4 4 3" xfId="6059" xr:uid="{00000000-0005-0000-0000-0000FA190000}"/>
    <cellStyle name="Normal 5 3 3 4 4 3 2" xfId="14509" xr:uid="{1FFD30E7-9F44-4940-8A9F-28DE46508E2E}"/>
    <cellStyle name="Normal 5 3 3 4 4 4" xfId="10291" xr:uid="{0B8FEC4C-5EDE-42FE-AF03-BECFF3351934}"/>
    <cellStyle name="Normal 5 3 3 4 5" xfId="2166" xr:uid="{00000000-0005-0000-0000-0000FB190000}"/>
    <cellStyle name="Normal 5 3 3 4 5 2" xfId="4395" xr:uid="{00000000-0005-0000-0000-0000FC190000}"/>
    <cellStyle name="Normal 5 3 3 4 5 2 2" xfId="8617" xr:uid="{00000000-0005-0000-0000-0000FD190000}"/>
    <cellStyle name="Normal 5 3 3 4 5 2 2 2" xfId="17067" xr:uid="{115FEDEF-6254-410D-9A19-DEC4C5BA17E6}"/>
    <cellStyle name="Normal 5 3 3 4 5 2 3" xfId="12849" xr:uid="{176EB51B-EBFC-46B2-BECE-09B659B1DE9C}"/>
    <cellStyle name="Normal 5 3 3 4 5 3" xfId="6472" xr:uid="{00000000-0005-0000-0000-0000FE190000}"/>
    <cellStyle name="Normal 5 3 3 4 5 3 2" xfId="14922" xr:uid="{F0354817-FC30-4E41-AD11-A275D176BF1A}"/>
    <cellStyle name="Normal 5 3 3 4 5 4" xfId="10704" xr:uid="{1589BF62-2C57-4B87-8F83-3F20B93FDB5A}"/>
    <cellStyle name="Normal 5 3 3 4 6" xfId="2602" xr:uid="{00000000-0005-0000-0000-0000FF190000}"/>
    <cellStyle name="Normal 5 3 3 4 6 2" xfId="6885" xr:uid="{00000000-0005-0000-0000-0000001A0000}"/>
    <cellStyle name="Normal 5 3 3 4 6 2 2" xfId="15335" xr:uid="{329B9C55-ACC3-440D-B083-673E41A5C682}"/>
    <cellStyle name="Normal 5 3 3 4 6 3" xfId="11117" xr:uid="{436AD795-1B5D-4200-BCA2-3D594637D3FA}"/>
    <cellStyle name="Normal 5 3 3 4 7" xfId="4820" xr:uid="{00000000-0005-0000-0000-0000011A0000}"/>
    <cellStyle name="Normal 5 3 3 4 7 2" xfId="13270" xr:uid="{6E590E77-B5CB-4B66-8142-174016ABE4A7}"/>
    <cellStyle name="Normal 5 3 3 4 8" xfId="9052" xr:uid="{3CA69B90-C6F4-46FD-85AB-BB432F548356}"/>
    <cellStyle name="Normal 5 3 3 5" xfId="915" xr:uid="{00000000-0005-0000-0000-0000021A0000}"/>
    <cellStyle name="Normal 5 3 3 5 2" xfId="3149" xr:uid="{00000000-0005-0000-0000-0000031A0000}"/>
    <cellStyle name="Normal 5 3 3 5 2 2" xfId="7371" xr:uid="{00000000-0005-0000-0000-0000041A0000}"/>
    <cellStyle name="Normal 5 3 3 5 2 2 2" xfId="15821" xr:uid="{B808746F-DAD4-4C77-AD49-CEFE8D6AEF17}"/>
    <cellStyle name="Normal 5 3 3 5 2 3" xfId="11603" xr:uid="{29C65B7D-3546-4A86-BD4B-7498B3508078}"/>
    <cellStyle name="Normal 5 3 3 5 3" xfId="5226" xr:uid="{00000000-0005-0000-0000-0000051A0000}"/>
    <cellStyle name="Normal 5 3 3 5 3 2" xfId="13676" xr:uid="{92197F0E-6738-40B9-A93E-006B0A2833E7}"/>
    <cellStyle name="Normal 5 3 3 5 4" xfId="9458" xr:uid="{321B1AF1-DD01-4F5F-B138-38F08FE6AD05}"/>
    <cellStyle name="Normal 5 3 3 6" xfId="1332" xr:uid="{00000000-0005-0000-0000-0000061A0000}"/>
    <cellStyle name="Normal 5 3 3 6 2" xfId="3562" xr:uid="{00000000-0005-0000-0000-0000071A0000}"/>
    <cellStyle name="Normal 5 3 3 6 2 2" xfId="7784" xr:uid="{00000000-0005-0000-0000-0000081A0000}"/>
    <cellStyle name="Normal 5 3 3 6 2 2 2" xfId="16234" xr:uid="{9E9D5A86-E77F-4A1A-8E84-CCA95A1F6BFB}"/>
    <cellStyle name="Normal 5 3 3 6 2 3" xfId="12016" xr:uid="{5BB7C660-C400-46D7-B11C-7C3FF498C09A}"/>
    <cellStyle name="Normal 5 3 3 6 3" xfId="5639" xr:uid="{00000000-0005-0000-0000-0000091A0000}"/>
    <cellStyle name="Normal 5 3 3 6 3 2" xfId="14089" xr:uid="{6ACFEF80-1755-46D8-ADCA-48CFAC0DD293}"/>
    <cellStyle name="Normal 5 3 3 6 4" xfId="9871" xr:uid="{6E0DAA08-DFD1-4BB0-9541-FC41EE8F310A}"/>
    <cellStyle name="Normal 5 3 3 7" xfId="1745" xr:uid="{00000000-0005-0000-0000-00000A1A0000}"/>
    <cellStyle name="Normal 5 3 3 7 2" xfId="3975" xr:uid="{00000000-0005-0000-0000-00000B1A0000}"/>
    <cellStyle name="Normal 5 3 3 7 2 2" xfId="8197" xr:uid="{00000000-0005-0000-0000-00000C1A0000}"/>
    <cellStyle name="Normal 5 3 3 7 2 2 2" xfId="16647" xr:uid="{1C7072A3-41B1-40FE-BF94-C9A96E254328}"/>
    <cellStyle name="Normal 5 3 3 7 2 3" xfId="12429" xr:uid="{C4D11995-2B05-4302-BAB3-89ED97FD53AB}"/>
    <cellStyle name="Normal 5 3 3 7 3" xfId="6052" xr:uid="{00000000-0005-0000-0000-00000D1A0000}"/>
    <cellStyle name="Normal 5 3 3 7 3 2" xfId="14502" xr:uid="{6BAD11D3-40EC-4C7F-87F1-C117BD3A87EF}"/>
    <cellStyle name="Normal 5 3 3 7 4" xfId="10284" xr:uid="{44450140-94EF-4BE5-8A1D-D675249EA758}"/>
    <cellStyle name="Normal 5 3 3 8" xfId="2159" xr:uid="{00000000-0005-0000-0000-00000E1A0000}"/>
    <cellStyle name="Normal 5 3 3 8 2" xfId="4388" xr:uid="{00000000-0005-0000-0000-00000F1A0000}"/>
    <cellStyle name="Normal 5 3 3 8 2 2" xfId="8610" xr:uid="{00000000-0005-0000-0000-0000101A0000}"/>
    <cellStyle name="Normal 5 3 3 8 2 2 2" xfId="17060" xr:uid="{4305C344-0EF4-401E-9A55-E929C034B2E3}"/>
    <cellStyle name="Normal 5 3 3 8 2 3" xfId="12842" xr:uid="{54582896-7D8D-4175-84D7-893AA5F12187}"/>
    <cellStyle name="Normal 5 3 3 8 3" xfId="6465" xr:uid="{00000000-0005-0000-0000-0000111A0000}"/>
    <cellStyle name="Normal 5 3 3 8 3 2" xfId="14915" xr:uid="{904BE6EB-5CEA-4FF6-B6E5-E0494092D253}"/>
    <cellStyle name="Normal 5 3 3 8 4" xfId="10697" xr:uid="{63C316B5-1F99-4381-AF34-BB66D36C39B8}"/>
    <cellStyle name="Normal 5 3 3 9" xfId="2595" xr:uid="{00000000-0005-0000-0000-0000121A0000}"/>
    <cellStyle name="Normal 5 3 3 9 2" xfId="6878" xr:uid="{00000000-0005-0000-0000-0000131A0000}"/>
    <cellStyle name="Normal 5 3 3 9 2 2" xfId="15328" xr:uid="{B54E4833-C213-4B4A-A7AD-0275E5AFFE81}"/>
    <cellStyle name="Normal 5 3 3 9 3" xfId="11110" xr:uid="{610C3B49-5C0B-48E8-A331-EF68436599EB}"/>
    <cellStyle name="Normal 5 3 4" xfId="449" xr:uid="{00000000-0005-0000-0000-0000141A0000}"/>
    <cellStyle name="Normal 5 3 4 10" xfId="9053" xr:uid="{399C7BAF-8D5E-4C79-B77E-94D2800C80C1}"/>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2 2 2" xfId="15831" xr:uid="{F7B4507B-9D55-49EC-AF23-986DE5BE1D09}"/>
    <cellStyle name="Normal 5 3 4 2 2 2 2 3" xfId="11613" xr:uid="{A07E56DE-AFEB-4F7B-81EB-BF353728B976}"/>
    <cellStyle name="Normal 5 3 4 2 2 2 3" xfId="5236" xr:uid="{00000000-0005-0000-0000-00001A1A0000}"/>
    <cellStyle name="Normal 5 3 4 2 2 2 3 2" xfId="13686" xr:uid="{31E502F2-57C2-437E-88AB-BF53B419741C}"/>
    <cellStyle name="Normal 5 3 4 2 2 2 4" xfId="9468" xr:uid="{BA93A4B2-4709-4023-AFC0-DBCBDEE102CA}"/>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2 2 2" xfId="16244" xr:uid="{A4A47DC9-E6AE-4771-8317-1A39988771A8}"/>
    <cellStyle name="Normal 5 3 4 2 2 3 2 3" xfId="12026" xr:uid="{85BD06F7-06F7-4417-9FBB-A08B1135C5B2}"/>
    <cellStyle name="Normal 5 3 4 2 2 3 3" xfId="5649" xr:uid="{00000000-0005-0000-0000-00001E1A0000}"/>
    <cellStyle name="Normal 5 3 4 2 2 3 3 2" xfId="14099" xr:uid="{C64775AD-6F3B-4512-ADCB-C3A4A14E2438}"/>
    <cellStyle name="Normal 5 3 4 2 2 3 4" xfId="9881" xr:uid="{82177EE8-71FA-4419-A35A-D2FF2E8C79BD}"/>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2 2 2" xfId="16657" xr:uid="{9890AE82-8B29-4E27-9365-CFB2ACA5AC8B}"/>
    <cellStyle name="Normal 5 3 4 2 2 4 2 3" xfId="12439" xr:uid="{C86327E5-762E-4387-9920-99BF0988961D}"/>
    <cellStyle name="Normal 5 3 4 2 2 4 3" xfId="6062" xr:uid="{00000000-0005-0000-0000-0000221A0000}"/>
    <cellStyle name="Normal 5 3 4 2 2 4 3 2" xfId="14512" xr:uid="{D3807FB9-1A15-4E72-ACC0-D555B89C4D71}"/>
    <cellStyle name="Normal 5 3 4 2 2 4 4" xfId="10294" xr:uid="{0CF1635F-9EC5-4D9B-BDC9-9127F06E8FE3}"/>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2 2 2" xfId="17070" xr:uid="{E188735D-6AA6-4F37-A116-06D161147031}"/>
    <cellStyle name="Normal 5 3 4 2 2 5 2 3" xfId="12852" xr:uid="{96D7F8D1-63CB-436E-A319-93C586B44088}"/>
    <cellStyle name="Normal 5 3 4 2 2 5 3" xfId="6475" xr:uid="{00000000-0005-0000-0000-0000261A0000}"/>
    <cellStyle name="Normal 5 3 4 2 2 5 3 2" xfId="14925" xr:uid="{A3980B93-3C29-4D6E-8AA3-839E4F68209F}"/>
    <cellStyle name="Normal 5 3 4 2 2 5 4" xfId="10707" xr:uid="{59E966B8-DD0C-4EF0-83A4-8AF0921A14E0}"/>
    <cellStyle name="Normal 5 3 4 2 2 6" xfId="2605" xr:uid="{00000000-0005-0000-0000-0000271A0000}"/>
    <cellStyle name="Normal 5 3 4 2 2 6 2" xfId="6888" xr:uid="{00000000-0005-0000-0000-0000281A0000}"/>
    <cellStyle name="Normal 5 3 4 2 2 6 2 2" xfId="15338" xr:uid="{3F474882-239B-45CD-880A-8E80238AB9EF}"/>
    <cellStyle name="Normal 5 3 4 2 2 6 3" xfId="11120" xr:uid="{ADC2E97B-8EE6-47BC-A3DB-A80EDCD046ED}"/>
    <cellStyle name="Normal 5 3 4 2 2 7" xfId="4823" xr:uid="{00000000-0005-0000-0000-0000291A0000}"/>
    <cellStyle name="Normal 5 3 4 2 2 7 2" xfId="13273" xr:uid="{F4D4FE19-0F79-4960-9FE6-ED32A3F4D990}"/>
    <cellStyle name="Normal 5 3 4 2 2 8" xfId="9055" xr:uid="{14DB29C2-76D4-4D32-878C-252B62337001}"/>
    <cellStyle name="Normal 5 3 4 2 3" xfId="924" xr:uid="{00000000-0005-0000-0000-00002A1A0000}"/>
    <cellStyle name="Normal 5 3 4 2 3 2" xfId="3158" xr:uid="{00000000-0005-0000-0000-00002B1A0000}"/>
    <cellStyle name="Normal 5 3 4 2 3 2 2" xfId="7380" xr:uid="{00000000-0005-0000-0000-00002C1A0000}"/>
    <cellStyle name="Normal 5 3 4 2 3 2 2 2" xfId="15830" xr:uid="{6A698C36-1FB7-4A50-991F-7EC0B425A84C}"/>
    <cellStyle name="Normal 5 3 4 2 3 2 3" xfId="11612" xr:uid="{7A9BFE8A-FAC2-492C-BEFC-F0D57E53D10B}"/>
    <cellStyle name="Normal 5 3 4 2 3 3" xfId="5235" xr:uid="{00000000-0005-0000-0000-00002D1A0000}"/>
    <cellStyle name="Normal 5 3 4 2 3 3 2" xfId="13685" xr:uid="{7660F0B4-73F2-4A83-8414-CA8D120956B2}"/>
    <cellStyle name="Normal 5 3 4 2 3 4" xfId="9467" xr:uid="{8A3E2203-651D-4235-A06A-FFA362C689F0}"/>
    <cellStyle name="Normal 5 3 4 2 4" xfId="1341" xr:uid="{00000000-0005-0000-0000-00002E1A0000}"/>
    <cellStyle name="Normal 5 3 4 2 4 2" xfId="3571" xr:uid="{00000000-0005-0000-0000-00002F1A0000}"/>
    <cellStyle name="Normal 5 3 4 2 4 2 2" xfId="7793" xr:uid="{00000000-0005-0000-0000-0000301A0000}"/>
    <cellStyle name="Normal 5 3 4 2 4 2 2 2" xfId="16243" xr:uid="{6F5B6727-7162-441E-A4B2-7CA7B0B17357}"/>
    <cellStyle name="Normal 5 3 4 2 4 2 3" xfId="12025" xr:uid="{A8C1B30B-57D5-4DD9-A096-6A45650DB0EB}"/>
    <cellStyle name="Normal 5 3 4 2 4 3" xfId="5648" xr:uid="{00000000-0005-0000-0000-0000311A0000}"/>
    <cellStyle name="Normal 5 3 4 2 4 3 2" xfId="14098" xr:uid="{8B5C0CA9-91D2-441F-9DEC-83B96FF1BC95}"/>
    <cellStyle name="Normal 5 3 4 2 4 4" xfId="9880" xr:uid="{3B8999FA-47C2-40FA-8DCE-FA1B54611D27}"/>
    <cellStyle name="Normal 5 3 4 2 5" xfId="1754" xr:uid="{00000000-0005-0000-0000-0000321A0000}"/>
    <cellStyle name="Normal 5 3 4 2 5 2" xfId="3984" xr:uid="{00000000-0005-0000-0000-0000331A0000}"/>
    <cellStyle name="Normal 5 3 4 2 5 2 2" xfId="8206" xr:uid="{00000000-0005-0000-0000-0000341A0000}"/>
    <cellStyle name="Normal 5 3 4 2 5 2 2 2" xfId="16656" xr:uid="{8A45B456-C60B-4017-A682-5FB055EE7E76}"/>
    <cellStyle name="Normal 5 3 4 2 5 2 3" xfId="12438" xr:uid="{AFC8A76C-5D11-404A-B092-B5D4F9F0A847}"/>
    <cellStyle name="Normal 5 3 4 2 5 3" xfId="6061" xr:uid="{00000000-0005-0000-0000-0000351A0000}"/>
    <cellStyle name="Normal 5 3 4 2 5 3 2" xfId="14511" xr:uid="{2BAC01F4-FA41-4C8A-9DDE-7D84BDE4AEE0}"/>
    <cellStyle name="Normal 5 3 4 2 5 4" xfId="10293" xr:uid="{4EFAA6E9-3274-4B4F-B8EB-1C0BA7E960F8}"/>
    <cellStyle name="Normal 5 3 4 2 6" xfId="2168" xr:uid="{00000000-0005-0000-0000-0000361A0000}"/>
    <cellStyle name="Normal 5 3 4 2 6 2" xfId="4397" xr:uid="{00000000-0005-0000-0000-0000371A0000}"/>
    <cellStyle name="Normal 5 3 4 2 6 2 2" xfId="8619" xr:uid="{00000000-0005-0000-0000-0000381A0000}"/>
    <cellStyle name="Normal 5 3 4 2 6 2 2 2" xfId="17069" xr:uid="{F291CDE7-ABF3-4039-834F-40C1053CA94A}"/>
    <cellStyle name="Normal 5 3 4 2 6 2 3" xfId="12851" xr:uid="{61326424-AC3E-48CC-A0F6-35408A9D4C9B}"/>
    <cellStyle name="Normal 5 3 4 2 6 3" xfId="6474" xr:uid="{00000000-0005-0000-0000-0000391A0000}"/>
    <cellStyle name="Normal 5 3 4 2 6 3 2" xfId="14924" xr:uid="{07ADA799-CDF3-4EE7-9902-1CD8467AA80F}"/>
    <cellStyle name="Normal 5 3 4 2 6 4" xfId="10706" xr:uid="{B8F46F64-CFE5-4371-A0CC-3924CDFD62C4}"/>
    <cellStyle name="Normal 5 3 4 2 7" xfId="2604" xr:uid="{00000000-0005-0000-0000-00003A1A0000}"/>
    <cellStyle name="Normal 5 3 4 2 7 2" xfId="6887" xr:uid="{00000000-0005-0000-0000-00003B1A0000}"/>
    <cellStyle name="Normal 5 3 4 2 7 2 2" xfId="15337" xr:uid="{F9A1DBCB-A47E-47A1-A819-3AFF1410D6A2}"/>
    <cellStyle name="Normal 5 3 4 2 7 3" xfId="11119" xr:uid="{5DBC97E2-21FD-44FB-905F-5BB54DDA2275}"/>
    <cellStyle name="Normal 5 3 4 2 8" xfId="4822" xr:uid="{00000000-0005-0000-0000-00003C1A0000}"/>
    <cellStyle name="Normal 5 3 4 2 8 2" xfId="13272" xr:uid="{F87D88DE-101D-4380-8064-6F30F8B03967}"/>
    <cellStyle name="Normal 5 3 4 2 9" xfId="9054" xr:uid="{4978025F-21D2-479C-8635-4A54828C35B5}"/>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2 2 2" xfId="15832" xr:uid="{00645A66-6B35-4C4B-8E8D-8720CBA31266}"/>
    <cellStyle name="Normal 5 3 4 3 2 2 3" xfId="11614" xr:uid="{40D9EDE7-5D1B-41CB-9A69-8F53A17C6748}"/>
    <cellStyle name="Normal 5 3 4 3 2 3" xfId="5237" xr:uid="{00000000-0005-0000-0000-0000411A0000}"/>
    <cellStyle name="Normal 5 3 4 3 2 3 2" xfId="13687" xr:uid="{57648FF2-731A-44BC-BF28-079590797C0F}"/>
    <cellStyle name="Normal 5 3 4 3 2 4" xfId="9469" xr:uid="{F843512D-F710-41D5-9ECF-580E3F9F0BAD}"/>
    <cellStyle name="Normal 5 3 4 3 3" xfId="1343" xr:uid="{00000000-0005-0000-0000-0000421A0000}"/>
    <cellStyle name="Normal 5 3 4 3 3 2" xfId="3573" xr:uid="{00000000-0005-0000-0000-0000431A0000}"/>
    <cellStyle name="Normal 5 3 4 3 3 2 2" xfId="7795" xr:uid="{00000000-0005-0000-0000-0000441A0000}"/>
    <cellStyle name="Normal 5 3 4 3 3 2 2 2" xfId="16245" xr:uid="{437D1505-83FC-483C-9A70-4B1AE9DF4CF5}"/>
    <cellStyle name="Normal 5 3 4 3 3 2 3" xfId="12027" xr:uid="{C5DB21B7-176C-42CF-9BDF-C7A9DA21258B}"/>
    <cellStyle name="Normal 5 3 4 3 3 3" xfId="5650" xr:uid="{00000000-0005-0000-0000-0000451A0000}"/>
    <cellStyle name="Normal 5 3 4 3 3 3 2" xfId="14100" xr:uid="{7192BB95-CBDF-428E-8FCD-2B19D56DF4A6}"/>
    <cellStyle name="Normal 5 3 4 3 3 4" xfId="9882" xr:uid="{1F3C4427-EAE9-45BE-B511-7931BABA007F}"/>
    <cellStyle name="Normal 5 3 4 3 4" xfId="1756" xr:uid="{00000000-0005-0000-0000-0000461A0000}"/>
    <cellStyle name="Normal 5 3 4 3 4 2" xfId="3986" xr:uid="{00000000-0005-0000-0000-0000471A0000}"/>
    <cellStyle name="Normal 5 3 4 3 4 2 2" xfId="8208" xr:uid="{00000000-0005-0000-0000-0000481A0000}"/>
    <cellStyle name="Normal 5 3 4 3 4 2 2 2" xfId="16658" xr:uid="{35B844F7-67FD-40F8-8886-6BDC1980A441}"/>
    <cellStyle name="Normal 5 3 4 3 4 2 3" xfId="12440" xr:uid="{D982E2B4-F700-4AB7-BF07-42C5642B914A}"/>
    <cellStyle name="Normal 5 3 4 3 4 3" xfId="6063" xr:uid="{00000000-0005-0000-0000-0000491A0000}"/>
    <cellStyle name="Normal 5 3 4 3 4 3 2" xfId="14513" xr:uid="{7B73B094-0A71-4E89-8268-3372201F1D91}"/>
    <cellStyle name="Normal 5 3 4 3 4 4" xfId="10295" xr:uid="{D44BFEDC-DF78-4AAB-8B5E-141D95B015CF}"/>
    <cellStyle name="Normal 5 3 4 3 5" xfId="2170" xr:uid="{00000000-0005-0000-0000-00004A1A0000}"/>
    <cellStyle name="Normal 5 3 4 3 5 2" xfId="4399" xr:uid="{00000000-0005-0000-0000-00004B1A0000}"/>
    <cellStyle name="Normal 5 3 4 3 5 2 2" xfId="8621" xr:uid="{00000000-0005-0000-0000-00004C1A0000}"/>
    <cellStyle name="Normal 5 3 4 3 5 2 2 2" xfId="17071" xr:uid="{16A23ABA-21DB-4FB6-970E-A4A82BC0ADFB}"/>
    <cellStyle name="Normal 5 3 4 3 5 2 3" xfId="12853" xr:uid="{5E7C5CE0-2703-449A-95AB-A65284582797}"/>
    <cellStyle name="Normal 5 3 4 3 5 3" xfId="6476" xr:uid="{00000000-0005-0000-0000-00004D1A0000}"/>
    <cellStyle name="Normal 5 3 4 3 5 3 2" xfId="14926" xr:uid="{E6088765-A7FD-4791-8E4F-5B3739BB4CD0}"/>
    <cellStyle name="Normal 5 3 4 3 5 4" xfId="10708" xr:uid="{3979C59F-A0DD-4058-B89E-A427B0BBF141}"/>
    <cellStyle name="Normal 5 3 4 3 6" xfId="2606" xr:uid="{00000000-0005-0000-0000-00004E1A0000}"/>
    <cellStyle name="Normal 5 3 4 3 6 2" xfId="6889" xr:uid="{00000000-0005-0000-0000-00004F1A0000}"/>
    <cellStyle name="Normal 5 3 4 3 6 2 2" xfId="15339" xr:uid="{F81BCB41-FC98-4E09-8B54-D69BB3FEF9C0}"/>
    <cellStyle name="Normal 5 3 4 3 6 3" xfId="11121" xr:uid="{C3018A4E-71E7-48B6-BFC3-B47EABB41E97}"/>
    <cellStyle name="Normal 5 3 4 3 7" xfId="4824" xr:uid="{00000000-0005-0000-0000-0000501A0000}"/>
    <cellStyle name="Normal 5 3 4 3 7 2" xfId="13274" xr:uid="{63268411-0336-4BCC-B9F1-A7808839F042}"/>
    <cellStyle name="Normal 5 3 4 3 8" xfId="9056" xr:uid="{341E7C83-1033-4304-B4FE-37007F943D09}"/>
    <cellStyle name="Normal 5 3 4 4" xfId="923" xr:uid="{00000000-0005-0000-0000-0000511A0000}"/>
    <cellStyle name="Normal 5 3 4 4 2" xfId="3157" xr:uid="{00000000-0005-0000-0000-0000521A0000}"/>
    <cellStyle name="Normal 5 3 4 4 2 2" xfId="7379" xr:uid="{00000000-0005-0000-0000-0000531A0000}"/>
    <cellStyle name="Normal 5 3 4 4 2 2 2" xfId="15829" xr:uid="{6982E49E-4690-40DE-9B5D-03A0BF2331AE}"/>
    <cellStyle name="Normal 5 3 4 4 2 3" xfId="11611" xr:uid="{1BB511EF-9031-45F0-856E-5DA73C8B7490}"/>
    <cellStyle name="Normal 5 3 4 4 3" xfId="5234" xr:uid="{00000000-0005-0000-0000-0000541A0000}"/>
    <cellStyle name="Normal 5 3 4 4 3 2" xfId="13684" xr:uid="{CF400048-5262-4F7C-8F65-8A095C394120}"/>
    <cellStyle name="Normal 5 3 4 4 4" xfId="9466" xr:uid="{E22F07AA-AF7E-4304-8B05-261525958F44}"/>
    <cellStyle name="Normal 5 3 4 5" xfId="1340" xr:uid="{00000000-0005-0000-0000-0000551A0000}"/>
    <cellStyle name="Normal 5 3 4 5 2" xfId="3570" xr:uid="{00000000-0005-0000-0000-0000561A0000}"/>
    <cellStyle name="Normal 5 3 4 5 2 2" xfId="7792" xr:uid="{00000000-0005-0000-0000-0000571A0000}"/>
    <cellStyle name="Normal 5 3 4 5 2 2 2" xfId="16242" xr:uid="{6B99E309-E46B-440E-88D7-0375E2711FB8}"/>
    <cellStyle name="Normal 5 3 4 5 2 3" xfId="12024" xr:uid="{98E6FF93-AF7C-4EB2-8CBD-A11320EC9E35}"/>
    <cellStyle name="Normal 5 3 4 5 3" xfId="5647" xr:uid="{00000000-0005-0000-0000-0000581A0000}"/>
    <cellStyle name="Normal 5 3 4 5 3 2" xfId="14097" xr:uid="{B3AFFC83-759F-4E52-82C6-2079F33488A0}"/>
    <cellStyle name="Normal 5 3 4 5 4" xfId="9879" xr:uid="{900B689C-8AC3-4E3F-93F4-376D947B4DD9}"/>
    <cellStyle name="Normal 5 3 4 6" xfId="1753" xr:uid="{00000000-0005-0000-0000-0000591A0000}"/>
    <cellStyle name="Normal 5 3 4 6 2" xfId="3983" xr:uid="{00000000-0005-0000-0000-00005A1A0000}"/>
    <cellStyle name="Normal 5 3 4 6 2 2" xfId="8205" xr:uid="{00000000-0005-0000-0000-00005B1A0000}"/>
    <cellStyle name="Normal 5 3 4 6 2 2 2" xfId="16655" xr:uid="{AC6C8C3D-6DBD-4F61-8467-38E4832F68C0}"/>
    <cellStyle name="Normal 5 3 4 6 2 3" xfId="12437" xr:uid="{73BDD626-4AF4-4A6F-8DF8-0C44FDD6D1D6}"/>
    <cellStyle name="Normal 5 3 4 6 3" xfId="6060" xr:uid="{00000000-0005-0000-0000-00005C1A0000}"/>
    <cellStyle name="Normal 5 3 4 6 3 2" xfId="14510" xr:uid="{57D96004-A030-4372-A81C-CE92F36DD996}"/>
    <cellStyle name="Normal 5 3 4 6 4" xfId="10292" xr:uid="{D795A40C-3690-4891-A7DE-F0D49FDBE691}"/>
    <cellStyle name="Normal 5 3 4 7" xfId="2167" xr:uid="{00000000-0005-0000-0000-00005D1A0000}"/>
    <cellStyle name="Normal 5 3 4 7 2" xfId="4396" xr:uid="{00000000-0005-0000-0000-00005E1A0000}"/>
    <cellStyle name="Normal 5 3 4 7 2 2" xfId="8618" xr:uid="{00000000-0005-0000-0000-00005F1A0000}"/>
    <cellStyle name="Normal 5 3 4 7 2 2 2" xfId="17068" xr:uid="{5D395FE0-9DB4-4343-8B19-1D412C7EF0E4}"/>
    <cellStyle name="Normal 5 3 4 7 2 3" xfId="12850" xr:uid="{4402E67F-41A8-4640-A081-87C16D98B78B}"/>
    <cellStyle name="Normal 5 3 4 7 3" xfId="6473" xr:uid="{00000000-0005-0000-0000-0000601A0000}"/>
    <cellStyle name="Normal 5 3 4 7 3 2" xfId="14923" xr:uid="{F2D4C313-317B-4504-8159-D763C7ED7FD9}"/>
    <cellStyle name="Normal 5 3 4 7 4" xfId="10705" xr:uid="{37C7BCEB-53AC-410E-9CD1-9B5075ADCEF4}"/>
    <cellStyle name="Normal 5 3 4 8" xfId="2603" xr:uid="{00000000-0005-0000-0000-0000611A0000}"/>
    <cellStyle name="Normal 5 3 4 8 2" xfId="6886" xr:uid="{00000000-0005-0000-0000-0000621A0000}"/>
    <cellStyle name="Normal 5 3 4 8 2 2" xfId="15336" xr:uid="{A404F90F-E63C-471F-8770-54E33A9F9522}"/>
    <cellStyle name="Normal 5 3 4 8 3" xfId="11118" xr:uid="{EBDE3C86-A491-4017-9A67-6AB22D2B550C}"/>
    <cellStyle name="Normal 5 3 4 9" xfId="4821" xr:uid="{00000000-0005-0000-0000-0000631A0000}"/>
    <cellStyle name="Normal 5 3 4 9 2" xfId="13271" xr:uid="{8A24294B-A6F8-43FC-80C6-035B26B56DE7}"/>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2 2 2" xfId="15834" xr:uid="{703F8CDD-659D-4829-B351-39C960C70914}"/>
    <cellStyle name="Normal 5 3 5 2 2 2 3" xfId="11616" xr:uid="{E8F04BDA-46E0-499E-8356-B24673B014A0}"/>
    <cellStyle name="Normal 5 3 5 2 2 3" xfId="5239" xr:uid="{00000000-0005-0000-0000-0000691A0000}"/>
    <cellStyle name="Normal 5 3 5 2 2 3 2" xfId="13689" xr:uid="{92187307-E814-40C2-96E7-2C96AF9994FE}"/>
    <cellStyle name="Normal 5 3 5 2 2 4" xfId="9471" xr:uid="{C904CA2B-81A7-4173-BD72-C4CA97CDA163}"/>
    <cellStyle name="Normal 5 3 5 2 3" xfId="1345" xr:uid="{00000000-0005-0000-0000-00006A1A0000}"/>
    <cellStyle name="Normal 5 3 5 2 3 2" xfId="3575" xr:uid="{00000000-0005-0000-0000-00006B1A0000}"/>
    <cellStyle name="Normal 5 3 5 2 3 2 2" xfId="7797" xr:uid="{00000000-0005-0000-0000-00006C1A0000}"/>
    <cellStyle name="Normal 5 3 5 2 3 2 2 2" xfId="16247" xr:uid="{59643D70-07BE-497B-B1BD-4C8A1360DBBC}"/>
    <cellStyle name="Normal 5 3 5 2 3 2 3" xfId="12029" xr:uid="{EFD0A505-D652-4D1D-8B9C-B3350C33B247}"/>
    <cellStyle name="Normal 5 3 5 2 3 3" xfId="5652" xr:uid="{00000000-0005-0000-0000-00006D1A0000}"/>
    <cellStyle name="Normal 5 3 5 2 3 3 2" xfId="14102" xr:uid="{1224E531-D3B7-489B-88CB-89BE733F9C65}"/>
    <cellStyle name="Normal 5 3 5 2 3 4" xfId="9884" xr:uid="{EF5E59E8-D493-4966-9FC2-34B5CC8EF1D4}"/>
    <cellStyle name="Normal 5 3 5 2 4" xfId="1758" xr:uid="{00000000-0005-0000-0000-00006E1A0000}"/>
    <cellStyle name="Normal 5 3 5 2 4 2" xfId="3988" xr:uid="{00000000-0005-0000-0000-00006F1A0000}"/>
    <cellStyle name="Normal 5 3 5 2 4 2 2" xfId="8210" xr:uid="{00000000-0005-0000-0000-0000701A0000}"/>
    <cellStyle name="Normal 5 3 5 2 4 2 2 2" xfId="16660" xr:uid="{A4764743-A0D1-4CE1-B244-145736D444EE}"/>
    <cellStyle name="Normal 5 3 5 2 4 2 3" xfId="12442" xr:uid="{D3919899-DCBD-4034-897E-5EBB47BD64C6}"/>
    <cellStyle name="Normal 5 3 5 2 4 3" xfId="6065" xr:uid="{00000000-0005-0000-0000-0000711A0000}"/>
    <cellStyle name="Normal 5 3 5 2 4 3 2" xfId="14515" xr:uid="{D5480A61-C04A-4B5E-B1E5-453C1A9BAEC1}"/>
    <cellStyle name="Normal 5 3 5 2 4 4" xfId="10297" xr:uid="{ECD82530-0D63-4C86-A7C1-062F26BD1B1F}"/>
    <cellStyle name="Normal 5 3 5 2 5" xfId="2172" xr:uid="{00000000-0005-0000-0000-0000721A0000}"/>
    <cellStyle name="Normal 5 3 5 2 5 2" xfId="4401" xr:uid="{00000000-0005-0000-0000-0000731A0000}"/>
    <cellStyle name="Normal 5 3 5 2 5 2 2" xfId="8623" xr:uid="{00000000-0005-0000-0000-0000741A0000}"/>
    <cellStyle name="Normal 5 3 5 2 5 2 2 2" xfId="17073" xr:uid="{3840C471-6E13-42D2-8FC3-0689939C96E1}"/>
    <cellStyle name="Normal 5 3 5 2 5 2 3" xfId="12855" xr:uid="{EFCA7DEB-02E1-49F0-A74E-DA627F9D9B0A}"/>
    <cellStyle name="Normal 5 3 5 2 5 3" xfId="6478" xr:uid="{00000000-0005-0000-0000-0000751A0000}"/>
    <cellStyle name="Normal 5 3 5 2 5 3 2" xfId="14928" xr:uid="{DD048E69-9A73-4EE2-9276-A32E8E59DA77}"/>
    <cellStyle name="Normal 5 3 5 2 5 4" xfId="10710" xr:uid="{C23725D2-3DB9-48F5-96A5-4A8A1F674ECF}"/>
    <cellStyle name="Normal 5 3 5 2 6" xfId="2608" xr:uid="{00000000-0005-0000-0000-0000761A0000}"/>
    <cellStyle name="Normal 5 3 5 2 6 2" xfId="6891" xr:uid="{00000000-0005-0000-0000-0000771A0000}"/>
    <cellStyle name="Normal 5 3 5 2 6 2 2" xfId="15341" xr:uid="{CB1F48BD-49BB-4CD4-A544-FE014BEAE6D1}"/>
    <cellStyle name="Normal 5 3 5 2 6 3" xfId="11123" xr:uid="{D1AF3512-BA3C-44D7-A7B1-D0718A2374E0}"/>
    <cellStyle name="Normal 5 3 5 2 7" xfId="4826" xr:uid="{00000000-0005-0000-0000-0000781A0000}"/>
    <cellStyle name="Normal 5 3 5 2 7 2" xfId="13276" xr:uid="{BF21E8A0-4A7D-4C82-AE43-2893132BC08F}"/>
    <cellStyle name="Normal 5 3 5 2 8" xfId="9058" xr:uid="{292E047F-5DA3-4D8C-BF40-191A0B846FC5}"/>
    <cellStyle name="Normal 5 3 5 3" xfId="927" xr:uid="{00000000-0005-0000-0000-0000791A0000}"/>
    <cellStyle name="Normal 5 3 5 3 2" xfId="3161" xr:uid="{00000000-0005-0000-0000-00007A1A0000}"/>
    <cellStyle name="Normal 5 3 5 3 2 2" xfId="7383" xr:uid="{00000000-0005-0000-0000-00007B1A0000}"/>
    <cellStyle name="Normal 5 3 5 3 2 2 2" xfId="15833" xr:uid="{9903AE29-335E-432A-BC01-A3C194D8CF87}"/>
    <cellStyle name="Normal 5 3 5 3 2 3" xfId="11615" xr:uid="{DBC2EF22-608C-4BC6-A723-A6F93223A07A}"/>
    <cellStyle name="Normal 5 3 5 3 3" xfId="5238" xr:uid="{00000000-0005-0000-0000-00007C1A0000}"/>
    <cellStyle name="Normal 5 3 5 3 3 2" xfId="13688" xr:uid="{1BF8D1E7-6BC7-499E-9F18-74C49E9E8B19}"/>
    <cellStyle name="Normal 5 3 5 3 4" xfId="9470" xr:uid="{7E789434-A1F2-4FA9-880C-1C210D8EAC94}"/>
    <cellStyle name="Normal 5 3 5 4" xfId="1344" xr:uid="{00000000-0005-0000-0000-00007D1A0000}"/>
    <cellStyle name="Normal 5 3 5 4 2" xfId="3574" xr:uid="{00000000-0005-0000-0000-00007E1A0000}"/>
    <cellStyle name="Normal 5 3 5 4 2 2" xfId="7796" xr:uid="{00000000-0005-0000-0000-00007F1A0000}"/>
    <cellStyle name="Normal 5 3 5 4 2 2 2" xfId="16246" xr:uid="{650822E6-1458-4AA2-9A13-F4E83F67F905}"/>
    <cellStyle name="Normal 5 3 5 4 2 3" xfId="12028" xr:uid="{7C803CE6-F557-47E9-B825-A5BB49A072E7}"/>
    <cellStyle name="Normal 5 3 5 4 3" xfId="5651" xr:uid="{00000000-0005-0000-0000-0000801A0000}"/>
    <cellStyle name="Normal 5 3 5 4 3 2" xfId="14101" xr:uid="{C660F27B-40BD-430D-A87A-26D5963C8156}"/>
    <cellStyle name="Normal 5 3 5 4 4" xfId="9883" xr:uid="{EE6E29BB-13C0-4215-8C14-15708BEA8E2C}"/>
    <cellStyle name="Normal 5 3 5 5" xfId="1757" xr:uid="{00000000-0005-0000-0000-0000811A0000}"/>
    <cellStyle name="Normal 5 3 5 5 2" xfId="3987" xr:uid="{00000000-0005-0000-0000-0000821A0000}"/>
    <cellStyle name="Normal 5 3 5 5 2 2" xfId="8209" xr:uid="{00000000-0005-0000-0000-0000831A0000}"/>
    <cellStyle name="Normal 5 3 5 5 2 2 2" xfId="16659" xr:uid="{10754D25-0412-4741-9B13-5E3E2C852749}"/>
    <cellStyle name="Normal 5 3 5 5 2 3" xfId="12441" xr:uid="{48D1BD0B-B420-472E-B8EB-C375EC2AA3A1}"/>
    <cellStyle name="Normal 5 3 5 5 3" xfId="6064" xr:uid="{00000000-0005-0000-0000-0000841A0000}"/>
    <cellStyle name="Normal 5 3 5 5 3 2" xfId="14514" xr:uid="{E72F7457-5BD5-4ACE-8085-4ED1CC50DF22}"/>
    <cellStyle name="Normal 5 3 5 5 4" xfId="10296" xr:uid="{E8E2A72D-3F25-43C0-86CC-FE2A77528AA7}"/>
    <cellStyle name="Normal 5 3 5 6" xfId="2171" xr:uid="{00000000-0005-0000-0000-0000851A0000}"/>
    <cellStyle name="Normal 5 3 5 6 2" xfId="4400" xr:uid="{00000000-0005-0000-0000-0000861A0000}"/>
    <cellStyle name="Normal 5 3 5 6 2 2" xfId="8622" xr:uid="{00000000-0005-0000-0000-0000871A0000}"/>
    <cellStyle name="Normal 5 3 5 6 2 2 2" xfId="17072" xr:uid="{3A59344F-83FE-4ECC-B926-0E7DA318E2CB}"/>
    <cellStyle name="Normal 5 3 5 6 2 3" xfId="12854" xr:uid="{64EABAB0-818F-46E3-BEEE-F69513B7470E}"/>
    <cellStyle name="Normal 5 3 5 6 3" xfId="6477" xr:uid="{00000000-0005-0000-0000-0000881A0000}"/>
    <cellStyle name="Normal 5 3 5 6 3 2" xfId="14927" xr:uid="{7275BD79-EBE4-4781-9795-C17E643BD107}"/>
    <cellStyle name="Normal 5 3 5 6 4" xfId="10709" xr:uid="{084C54B9-60CB-4C87-81DB-04293C629CA1}"/>
    <cellStyle name="Normal 5 3 5 7" xfId="2607" xr:uid="{00000000-0005-0000-0000-0000891A0000}"/>
    <cellStyle name="Normal 5 3 5 7 2" xfId="6890" xr:uid="{00000000-0005-0000-0000-00008A1A0000}"/>
    <cellStyle name="Normal 5 3 5 7 2 2" xfId="15340" xr:uid="{2A60ABB7-D76D-4331-A05F-4C0321085D81}"/>
    <cellStyle name="Normal 5 3 5 7 3" xfId="11122" xr:uid="{D5F53181-E266-4EDD-BFB3-91FC5B043A0F}"/>
    <cellStyle name="Normal 5 3 5 8" xfId="4825" xr:uid="{00000000-0005-0000-0000-00008B1A0000}"/>
    <cellStyle name="Normal 5 3 5 8 2" xfId="13275" xr:uid="{037F3839-F662-4190-A470-36C7DE232CFC}"/>
    <cellStyle name="Normal 5 3 5 9" xfId="9057" xr:uid="{E6ED608E-E3AC-41B4-8486-15665EC13F7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2 2 2" xfId="15835" xr:uid="{782918BF-3A4B-481F-B253-50E263B6F5B5}"/>
    <cellStyle name="Normal 5 3 6 2 2 3" xfId="11617" xr:uid="{5462E478-141B-497D-815F-F5B44B0D094A}"/>
    <cellStyle name="Normal 5 3 6 2 3" xfId="5240" xr:uid="{00000000-0005-0000-0000-0000901A0000}"/>
    <cellStyle name="Normal 5 3 6 2 3 2" xfId="13690" xr:uid="{3BD27FFC-C157-48E4-B2B4-C75F82AF511A}"/>
    <cellStyle name="Normal 5 3 6 2 4" xfId="9472" xr:uid="{3899DF4C-83A9-47B4-8E1C-DFCA1E5EE48B}"/>
    <cellStyle name="Normal 5 3 6 3" xfId="1346" xr:uid="{00000000-0005-0000-0000-0000911A0000}"/>
    <cellStyle name="Normal 5 3 6 3 2" xfId="3576" xr:uid="{00000000-0005-0000-0000-0000921A0000}"/>
    <cellStyle name="Normal 5 3 6 3 2 2" xfId="7798" xr:uid="{00000000-0005-0000-0000-0000931A0000}"/>
    <cellStyle name="Normal 5 3 6 3 2 2 2" xfId="16248" xr:uid="{956FA71D-D7CD-49B8-A5D3-26BB262DDB88}"/>
    <cellStyle name="Normal 5 3 6 3 2 3" xfId="12030" xr:uid="{BFC58C6F-9521-4FB6-96D1-68B368E35D16}"/>
    <cellStyle name="Normal 5 3 6 3 3" xfId="5653" xr:uid="{00000000-0005-0000-0000-0000941A0000}"/>
    <cellStyle name="Normal 5 3 6 3 3 2" xfId="14103" xr:uid="{2CAB2DBE-402B-498B-A2DC-8EC8E6A72FF3}"/>
    <cellStyle name="Normal 5 3 6 3 4" xfId="9885" xr:uid="{F1670F0A-3FB2-4B03-A10D-425323AB3CA2}"/>
    <cellStyle name="Normal 5 3 6 4" xfId="1759" xr:uid="{00000000-0005-0000-0000-0000951A0000}"/>
    <cellStyle name="Normal 5 3 6 4 2" xfId="3989" xr:uid="{00000000-0005-0000-0000-0000961A0000}"/>
    <cellStyle name="Normal 5 3 6 4 2 2" xfId="8211" xr:uid="{00000000-0005-0000-0000-0000971A0000}"/>
    <cellStyle name="Normal 5 3 6 4 2 2 2" xfId="16661" xr:uid="{B0D192AC-2E33-4F6B-8A83-1662C10F2C11}"/>
    <cellStyle name="Normal 5 3 6 4 2 3" xfId="12443" xr:uid="{88EDE088-66F9-4918-94C4-02A30A80F571}"/>
    <cellStyle name="Normal 5 3 6 4 3" xfId="6066" xr:uid="{00000000-0005-0000-0000-0000981A0000}"/>
    <cellStyle name="Normal 5 3 6 4 3 2" xfId="14516" xr:uid="{76BB9547-5A27-447E-AA7B-3E40687943A3}"/>
    <cellStyle name="Normal 5 3 6 4 4" xfId="10298" xr:uid="{0D9563D0-26C3-414A-80A0-0629031DBEDB}"/>
    <cellStyle name="Normal 5 3 6 5" xfId="2173" xr:uid="{00000000-0005-0000-0000-0000991A0000}"/>
    <cellStyle name="Normal 5 3 6 5 2" xfId="4402" xr:uid="{00000000-0005-0000-0000-00009A1A0000}"/>
    <cellStyle name="Normal 5 3 6 5 2 2" xfId="8624" xr:uid="{00000000-0005-0000-0000-00009B1A0000}"/>
    <cellStyle name="Normal 5 3 6 5 2 2 2" xfId="17074" xr:uid="{B170BE68-60ED-4ECB-868E-D4F2E99B2EB9}"/>
    <cellStyle name="Normal 5 3 6 5 2 3" xfId="12856" xr:uid="{D2C8D09B-4F6D-40CC-9FC8-E071B847A654}"/>
    <cellStyle name="Normal 5 3 6 5 3" xfId="6479" xr:uid="{00000000-0005-0000-0000-00009C1A0000}"/>
    <cellStyle name="Normal 5 3 6 5 3 2" xfId="14929" xr:uid="{58A4C9DD-9BFD-4074-8A43-3590A9CB1076}"/>
    <cellStyle name="Normal 5 3 6 5 4" xfId="10711" xr:uid="{7EFF9B36-46D7-4F84-9F79-F33920527407}"/>
    <cellStyle name="Normal 5 3 6 6" xfId="2609" xr:uid="{00000000-0005-0000-0000-00009D1A0000}"/>
    <cellStyle name="Normal 5 3 6 6 2" xfId="6892" xr:uid="{00000000-0005-0000-0000-00009E1A0000}"/>
    <cellStyle name="Normal 5 3 6 6 2 2" xfId="15342" xr:uid="{54007E55-4AA4-4812-9A59-CB9629F6AAF8}"/>
    <cellStyle name="Normal 5 3 6 6 3" xfId="11124" xr:uid="{E80C7FD2-64D8-4BD8-A9BC-8AF01559A8C4}"/>
    <cellStyle name="Normal 5 3 6 7" xfId="4827" xr:uid="{00000000-0005-0000-0000-00009F1A0000}"/>
    <cellStyle name="Normal 5 3 6 7 2" xfId="13277" xr:uid="{7F79C787-2C59-4871-B2DB-A0E7B0EDCC08}"/>
    <cellStyle name="Normal 5 3 6 8" xfId="9059" xr:uid="{539C8EE6-D990-478C-B5CE-676213AC0940}"/>
    <cellStyle name="Normal 5 3 7" xfId="913" xr:uid="{00000000-0005-0000-0000-0000A01A0000}"/>
    <cellStyle name="Normal 5 3 7 2" xfId="3148" xr:uid="{00000000-0005-0000-0000-0000A11A0000}"/>
    <cellStyle name="Normal 5 3 7 2 2" xfId="7370" xr:uid="{00000000-0005-0000-0000-0000A21A0000}"/>
    <cellStyle name="Normal 5 3 7 2 2 2" xfId="15820" xr:uid="{911947F2-8864-4EF4-AFC5-C8B60A95FE05}"/>
    <cellStyle name="Normal 5 3 7 2 3" xfId="11602" xr:uid="{76BF512C-EAAE-4B77-89B3-C0FEDD3C9A3B}"/>
    <cellStyle name="Normal 5 3 7 3" xfId="5225" xr:uid="{00000000-0005-0000-0000-0000A31A0000}"/>
    <cellStyle name="Normal 5 3 7 3 2" xfId="13675" xr:uid="{E8529588-6833-4EC4-94E3-1B0EEF457DAC}"/>
    <cellStyle name="Normal 5 3 7 4" xfId="9457" xr:uid="{9CFB3543-E771-47EA-A32B-1F2CC823E77D}"/>
    <cellStyle name="Normal 5 3 8" xfId="1331" xr:uid="{00000000-0005-0000-0000-0000A41A0000}"/>
    <cellStyle name="Normal 5 3 8 2" xfId="3561" xr:uid="{00000000-0005-0000-0000-0000A51A0000}"/>
    <cellStyle name="Normal 5 3 8 2 2" xfId="7783" xr:uid="{00000000-0005-0000-0000-0000A61A0000}"/>
    <cellStyle name="Normal 5 3 8 2 2 2" xfId="16233" xr:uid="{D9FE335A-2A1F-4E3F-9149-729FC9180D04}"/>
    <cellStyle name="Normal 5 3 8 2 3" xfId="12015" xr:uid="{1333E145-66DE-4AE4-83F4-DED482232AB4}"/>
    <cellStyle name="Normal 5 3 8 3" xfId="5638" xr:uid="{00000000-0005-0000-0000-0000A71A0000}"/>
    <cellStyle name="Normal 5 3 8 3 2" xfId="14088" xr:uid="{5B721E45-73DA-4472-B6D0-D172F73B7DF6}"/>
    <cellStyle name="Normal 5 3 8 4" xfId="9870" xr:uid="{D8D5DEB0-E12A-4803-B561-357A2AAA2A51}"/>
    <cellStyle name="Normal 5 3 9" xfId="1744" xr:uid="{00000000-0005-0000-0000-0000A81A0000}"/>
    <cellStyle name="Normal 5 3 9 2" xfId="3974" xr:uid="{00000000-0005-0000-0000-0000A91A0000}"/>
    <cellStyle name="Normal 5 3 9 2 2" xfId="8196" xr:uid="{00000000-0005-0000-0000-0000AA1A0000}"/>
    <cellStyle name="Normal 5 3 9 2 2 2" xfId="16646" xr:uid="{66D74671-E2AF-4D23-BE43-091527189E72}"/>
    <cellStyle name="Normal 5 3 9 2 3" xfId="12428" xr:uid="{0E4E9CE2-7566-44E8-8255-19D06E5C1026}"/>
    <cellStyle name="Normal 5 3 9 3" xfId="6051" xr:uid="{00000000-0005-0000-0000-0000AB1A0000}"/>
    <cellStyle name="Normal 5 3 9 3 2" xfId="14501" xr:uid="{EC3D8A9C-5069-486F-BB27-B2E63C9F7270}"/>
    <cellStyle name="Normal 5 3 9 4" xfId="10283" xr:uid="{16A7E001-39FD-46DB-A7C2-EA14EAB07787}"/>
    <cellStyle name="Normal 5 4" xfId="456" xr:uid="{00000000-0005-0000-0000-0000AC1A0000}"/>
    <cellStyle name="Normal 5 4 10" xfId="4828" xr:uid="{00000000-0005-0000-0000-0000AD1A0000}"/>
    <cellStyle name="Normal 5 4 10 2" xfId="13278" xr:uid="{98472DDC-B89D-467B-8547-35C1138C6A55}"/>
    <cellStyle name="Normal 5 4 11" xfId="9060" xr:uid="{9C0260F8-1DF2-489B-B225-15B661246E21}"/>
    <cellStyle name="Normal 5 4 2" xfId="457" xr:uid="{00000000-0005-0000-0000-0000AE1A0000}"/>
    <cellStyle name="Normal 5 4 2 10" xfId="9061" xr:uid="{6D185789-F2AA-48E5-B2F5-F4FD1CB291DD}"/>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2 2 2" xfId="15839" xr:uid="{70430027-C62D-4A33-9959-FE72F4FB7F01}"/>
    <cellStyle name="Normal 5 4 2 2 2 2 2 3" xfId="11621" xr:uid="{9DC7AD85-005D-4CA8-AF37-29518E9A8565}"/>
    <cellStyle name="Normal 5 4 2 2 2 2 3" xfId="5244" xr:uid="{00000000-0005-0000-0000-0000B41A0000}"/>
    <cellStyle name="Normal 5 4 2 2 2 2 3 2" xfId="13694" xr:uid="{38AFF59E-C315-4BC8-9608-B92F0F5ECCDF}"/>
    <cellStyle name="Normal 5 4 2 2 2 2 4" xfId="9476" xr:uid="{0B3516A4-F17F-4474-B517-67A6E67738CD}"/>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2 2 2" xfId="16252" xr:uid="{8FC69285-3E40-4689-8211-E1AFF5C2AB57}"/>
    <cellStyle name="Normal 5 4 2 2 2 3 2 3" xfId="12034" xr:uid="{1D3FB2BF-1D98-4EBB-8F03-8A113D31AD8A}"/>
    <cellStyle name="Normal 5 4 2 2 2 3 3" xfId="5657" xr:uid="{00000000-0005-0000-0000-0000B81A0000}"/>
    <cellStyle name="Normal 5 4 2 2 2 3 3 2" xfId="14107" xr:uid="{27FA5E57-387E-4550-AC24-45607C7B6382}"/>
    <cellStyle name="Normal 5 4 2 2 2 3 4" xfId="9889" xr:uid="{0041F60D-520A-45B5-9918-CE9FF9051075}"/>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2 2 2" xfId="16665" xr:uid="{7E864F07-F38F-4A93-B317-6683530AC911}"/>
    <cellStyle name="Normal 5 4 2 2 2 4 2 3" xfId="12447" xr:uid="{18DD3F9A-EC81-4BCB-9563-29BD95DC425B}"/>
    <cellStyle name="Normal 5 4 2 2 2 4 3" xfId="6070" xr:uid="{00000000-0005-0000-0000-0000BC1A0000}"/>
    <cellStyle name="Normal 5 4 2 2 2 4 3 2" xfId="14520" xr:uid="{BB6262AA-A480-4F8F-BF2C-8778C7D3AD39}"/>
    <cellStyle name="Normal 5 4 2 2 2 4 4" xfId="10302" xr:uid="{CC9D2CD5-1D8B-455F-B582-AA399722B1C8}"/>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2 2 2" xfId="17078" xr:uid="{A08E73CD-F23B-4B27-90FE-964FB6B79259}"/>
    <cellStyle name="Normal 5 4 2 2 2 5 2 3" xfId="12860" xr:uid="{E013382F-9A65-463B-A622-C09BFDA1F7BB}"/>
    <cellStyle name="Normal 5 4 2 2 2 5 3" xfId="6483" xr:uid="{00000000-0005-0000-0000-0000C01A0000}"/>
    <cellStyle name="Normal 5 4 2 2 2 5 3 2" xfId="14933" xr:uid="{BC94B1B9-93F1-48B4-9B03-2DFA20743AAA}"/>
    <cellStyle name="Normal 5 4 2 2 2 5 4" xfId="10715" xr:uid="{C22B2BE6-E3A6-42AE-8EBF-88EEAE6F614B}"/>
    <cellStyle name="Normal 5 4 2 2 2 6" xfId="2613" xr:uid="{00000000-0005-0000-0000-0000C11A0000}"/>
    <cellStyle name="Normal 5 4 2 2 2 6 2" xfId="6896" xr:uid="{00000000-0005-0000-0000-0000C21A0000}"/>
    <cellStyle name="Normal 5 4 2 2 2 6 2 2" xfId="15346" xr:uid="{139A4FB2-5AE3-4190-AAA4-B3184E8DDC7F}"/>
    <cellStyle name="Normal 5 4 2 2 2 6 3" xfId="11128" xr:uid="{FE28F470-1974-4388-A309-866CCC783016}"/>
    <cellStyle name="Normal 5 4 2 2 2 7" xfId="4831" xr:uid="{00000000-0005-0000-0000-0000C31A0000}"/>
    <cellStyle name="Normal 5 4 2 2 2 7 2" xfId="13281" xr:uid="{934A80BF-E9C4-4EFD-B23E-6053E5E5816B}"/>
    <cellStyle name="Normal 5 4 2 2 2 8" xfId="9063" xr:uid="{5F54C0AD-B350-4B7C-A01C-9B2C90B1FB7D}"/>
    <cellStyle name="Normal 5 4 2 2 3" xfId="932" xr:uid="{00000000-0005-0000-0000-0000C41A0000}"/>
    <cellStyle name="Normal 5 4 2 2 3 2" xfId="3166" xr:uid="{00000000-0005-0000-0000-0000C51A0000}"/>
    <cellStyle name="Normal 5 4 2 2 3 2 2" xfId="7388" xr:uid="{00000000-0005-0000-0000-0000C61A0000}"/>
    <cellStyle name="Normal 5 4 2 2 3 2 2 2" xfId="15838" xr:uid="{51BCEA69-9AB2-4127-B4DD-619FB7BF7C16}"/>
    <cellStyle name="Normal 5 4 2 2 3 2 3" xfId="11620" xr:uid="{9A62CE54-D711-49DE-801F-3ECAAF7AC40F}"/>
    <cellStyle name="Normal 5 4 2 2 3 3" xfId="5243" xr:uid="{00000000-0005-0000-0000-0000C71A0000}"/>
    <cellStyle name="Normal 5 4 2 2 3 3 2" xfId="13693" xr:uid="{1FC1C134-FBB1-42EA-BE86-E1754105DA5A}"/>
    <cellStyle name="Normal 5 4 2 2 3 4" xfId="9475" xr:uid="{5F192D77-9319-4250-90F4-762D697E6405}"/>
    <cellStyle name="Normal 5 4 2 2 4" xfId="1349" xr:uid="{00000000-0005-0000-0000-0000C81A0000}"/>
    <cellStyle name="Normal 5 4 2 2 4 2" xfId="3579" xr:uid="{00000000-0005-0000-0000-0000C91A0000}"/>
    <cellStyle name="Normal 5 4 2 2 4 2 2" xfId="7801" xr:uid="{00000000-0005-0000-0000-0000CA1A0000}"/>
    <cellStyle name="Normal 5 4 2 2 4 2 2 2" xfId="16251" xr:uid="{907C9266-01CA-4F38-B73E-D9C8125512EC}"/>
    <cellStyle name="Normal 5 4 2 2 4 2 3" xfId="12033" xr:uid="{593376C1-248F-4F85-88BF-C4BAA10B330F}"/>
    <cellStyle name="Normal 5 4 2 2 4 3" xfId="5656" xr:uid="{00000000-0005-0000-0000-0000CB1A0000}"/>
    <cellStyle name="Normal 5 4 2 2 4 3 2" xfId="14106" xr:uid="{1BD377B5-36D5-4D7D-8EFB-49201B08E3D8}"/>
    <cellStyle name="Normal 5 4 2 2 4 4" xfId="9888" xr:uid="{134E5862-F068-4EB7-BA9C-6BF1C31F1375}"/>
    <cellStyle name="Normal 5 4 2 2 5" xfId="1762" xr:uid="{00000000-0005-0000-0000-0000CC1A0000}"/>
    <cellStyle name="Normal 5 4 2 2 5 2" xfId="3992" xr:uid="{00000000-0005-0000-0000-0000CD1A0000}"/>
    <cellStyle name="Normal 5 4 2 2 5 2 2" xfId="8214" xr:uid="{00000000-0005-0000-0000-0000CE1A0000}"/>
    <cellStyle name="Normal 5 4 2 2 5 2 2 2" xfId="16664" xr:uid="{103EB85F-A598-467F-92EF-CB52CB81B7E2}"/>
    <cellStyle name="Normal 5 4 2 2 5 2 3" xfId="12446" xr:uid="{14C5F90F-8550-4A37-B715-F6646AB77D5C}"/>
    <cellStyle name="Normal 5 4 2 2 5 3" xfId="6069" xr:uid="{00000000-0005-0000-0000-0000CF1A0000}"/>
    <cellStyle name="Normal 5 4 2 2 5 3 2" xfId="14519" xr:uid="{E4EF0E3D-07EB-432B-8E3A-BFD70EF0C7C5}"/>
    <cellStyle name="Normal 5 4 2 2 5 4" xfId="10301" xr:uid="{59108205-70DB-428A-B11F-8C753C21159F}"/>
    <cellStyle name="Normal 5 4 2 2 6" xfId="2176" xr:uid="{00000000-0005-0000-0000-0000D01A0000}"/>
    <cellStyle name="Normal 5 4 2 2 6 2" xfId="4405" xr:uid="{00000000-0005-0000-0000-0000D11A0000}"/>
    <cellStyle name="Normal 5 4 2 2 6 2 2" xfId="8627" xr:uid="{00000000-0005-0000-0000-0000D21A0000}"/>
    <cellStyle name="Normal 5 4 2 2 6 2 2 2" xfId="17077" xr:uid="{A384D62F-3265-44A8-B8BE-B870CB4D820A}"/>
    <cellStyle name="Normal 5 4 2 2 6 2 3" xfId="12859" xr:uid="{63FAD846-4032-477A-B635-CFAE602A09E6}"/>
    <cellStyle name="Normal 5 4 2 2 6 3" xfId="6482" xr:uid="{00000000-0005-0000-0000-0000D31A0000}"/>
    <cellStyle name="Normal 5 4 2 2 6 3 2" xfId="14932" xr:uid="{60FD072F-F940-4787-839A-AF49A5C02817}"/>
    <cellStyle name="Normal 5 4 2 2 6 4" xfId="10714" xr:uid="{B46EE086-C3AF-464D-8AF7-003402777742}"/>
    <cellStyle name="Normal 5 4 2 2 7" xfId="2612" xr:uid="{00000000-0005-0000-0000-0000D41A0000}"/>
    <cellStyle name="Normal 5 4 2 2 7 2" xfId="6895" xr:uid="{00000000-0005-0000-0000-0000D51A0000}"/>
    <cellStyle name="Normal 5 4 2 2 7 2 2" xfId="15345" xr:uid="{A1FAF6C8-BA2D-45A3-9CF1-0F7B282BDAF1}"/>
    <cellStyle name="Normal 5 4 2 2 7 3" xfId="11127" xr:uid="{35B75A3E-4A6D-457A-B683-A73066D587DF}"/>
    <cellStyle name="Normal 5 4 2 2 8" xfId="4830" xr:uid="{00000000-0005-0000-0000-0000D61A0000}"/>
    <cellStyle name="Normal 5 4 2 2 8 2" xfId="13280" xr:uid="{E94D7126-BD49-4B42-92F4-B586CBA5B708}"/>
    <cellStyle name="Normal 5 4 2 2 9" xfId="9062" xr:uid="{BD2B7F85-CEF6-4B66-A549-07488AB4C5CC}"/>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2 2 2" xfId="15840" xr:uid="{3BA2F62B-11FB-403C-8581-EA8CF4125036}"/>
    <cellStyle name="Normal 5 4 2 3 2 2 3" xfId="11622" xr:uid="{25A06317-D2DD-4B9D-8BE3-F6FCA5936A56}"/>
    <cellStyle name="Normal 5 4 2 3 2 3" xfId="5245" xr:uid="{00000000-0005-0000-0000-0000DB1A0000}"/>
    <cellStyle name="Normal 5 4 2 3 2 3 2" xfId="13695" xr:uid="{1AC708F9-B466-4964-A8FA-F842D6DE0EDE}"/>
    <cellStyle name="Normal 5 4 2 3 2 4" xfId="9477" xr:uid="{DAFDAE25-BD93-479B-B73C-7A2CBD75F3C7}"/>
    <cellStyle name="Normal 5 4 2 3 3" xfId="1351" xr:uid="{00000000-0005-0000-0000-0000DC1A0000}"/>
    <cellStyle name="Normal 5 4 2 3 3 2" xfId="3581" xr:uid="{00000000-0005-0000-0000-0000DD1A0000}"/>
    <cellStyle name="Normal 5 4 2 3 3 2 2" xfId="7803" xr:uid="{00000000-0005-0000-0000-0000DE1A0000}"/>
    <cellStyle name="Normal 5 4 2 3 3 2 2 2" xfId="16253" xr:uid="{4118437B-839C-4A92-84FF-3594BA737A7F}"/>
    <cellStyle name="Normal 5 4 2 3 3 2 3" xfId="12035" xr:uid="{561B46AA-1DA9-47ED-976E-63B9FB74DF1B}"/>
    <cellStyle name="Normal 5 4 2 3 3 3" xfId="5658" xr:uid="{00000000-0005-0000-0000-0000DF1A0000}"/>
    <cellStyle name="Normal 5 4 2 3 3 3 2" xfId="14108" xr:uid="{236EBD5C-48D4-4463-854B-02D1E61A08D2}"/>
    <cellStyle name="Normal 5 4 2 3 3 4" xfId="9890" xr:uid="{7FBD1B95-B66B-48B9-B735-6FA5CBB23720}"/>
    <cellStyle name="Normal 5 4 2 3 4" xfId="1764" xr:uid="{00000000-0005-0000-0000-0000E01A0000}"/>
    <cellStyle name="Normal 5 4 2 3 4 2" xfId="3994" xr:uid="{00000000-0005-0000-0000-0000E11A0000}"/>
    <cellStyle name="Normal 5 4 2 3 4 2 2" xfId="8216" xr:uid="{00000000-0005-0000-0000-0000E21A0000}"/>
    <cellStyle name="Normal 5 4 2 3 4 2 2 2" xfId="16666" xr:uid="{85120AA9-728C-4DF5-BA8D-24D93FEC767C}"/>
    <cellStyle name="Normal 5 4 2 3 4 2 3" xfId="12448" xr:uid="{5F8D6298-EF02-4ED0-9E10-FF5782277AFD}"/>
    <cellStyle name="Normal 5 4 2 3 4 3" xfId="6071" xr:uid="{00000000-0005-0000-0000-0000E31A0000}"/>
    <cellStyle name="Normal 5 4 2 3 4 3 2" xfId="14521" xr:uid="{0DADBFF6-D2B1-4904-8CF6-56C3BC98AC0F}"/>
    <cellStyle name="Normal 5 4 2 3 4 4" xfId="10303" xr:uid="{9D05D519-CE37-4329-8149-FBB4D02EC2CA}"/>
    <cellStyle name="Normal 5 4 2 3 5" xfId="2178" xr:uid="{00000000-0005-0000-0000-0000E41A0000}"/>
    <cellStyle name="Normal 5 4 2 3 5 2" xfId="4407" xr:uid="{00000000-0005-0000-0000-0000E51A0000}"/>
    <cellStyle name="Normal 5 4 2 3 5 2 2" xfId="8629" xr:uid="{00000000-0005-0000-0000-0000E61A0000}"/>
    <cellStyle name="Normal 5 4 2 3 5 2 2 2" xfId="17079" xr:uid="{275392C3-58AE-4C04-A275-C5D8504251DD}"/>
    <cellStyle name="Normal 5 4 2 3 5 2 3" xfId="12861" xr:uid="{BD90F3EA-B41A-45B2-8D20-9FB12ADAB13F}"/>
    <cellStyle name="Normal 5 4 2 3 5 3" xfId="6484" xr:uid="{00000000-0005-0000-0000-0000E71A0000}"/>
    <cellStyle name="Normal 5 4 2 3 5 3 2" xfId="14934" xr:uid="{DC82C83D-C67C-45CB-8E9A-1598A18A0FA6}"/>
    <cellStyle name="Normal 5 4 2 3 5 4" xfId="10716" xr:uid="{1C52E4FA-F68A-4BD8-898F-11D53A14B048}"/>
    <cellStyle name="Normal 5 4 2 3 6" xfId="2614" xr:uid="{00000000-0005-0000-0000-0000E81A0000}"/>
    <cellStyle name="Normal 5 4 2 3 6 2" xfId="6897" xr:uid="{00000000-0005-0000-0000-0000E91A0000}"/>
    <cellStyle name="Normal 5 4 2 3 6 2 2" xfId="15347" xr:uid="{33C259BA-8354-4E50-B8E7-F2D0EEFC896D}"/>
    <cellStyle name="Normal 5 4 2 3 6 3" xfId="11129" xr:uid="{14F466CE-0494-4CB4-B7BE-AB105B3AFD1E}"/>
    <cellStyle name="Normal 5 4 2 3 7" xfId="4832" xr:uid="{00000000-0005-0000-0000-0000EA1A0000}"/>
    <cellStyle name="Normal 5 4 2 3 7 2" xfId="13282" xr:uid="{A379F073-384C-43FB-9892-041BCC3DE07D}"/>
    <cellStyle name="Normal 5 4 2 3 8" xfId="9064" xr:uid="{4F80FEF3-EC99-4385-8AC2-74C5C655739B}"/>
    <cellStyle name="Normal 5 4 2 4" xfId="931" xr:uid="{00000000-0005-0000-0000-0000EB1A0000}"/>
    <cellStyle name="Normal 5 4 2 4 2" xfId="3165" xr:uid="{00000000-0005-0000-0000-0000EC1A0000}"/>
    <cellStyle name="Normal 5 4 2 4 2 2" xfId="7387" xr:uid="{00000000-0005-0000-0000-0000ED1A0000}"/>
    <cellStyle name="Normal 5 4 2 4 2 2 2" xfId="15837" xr:uid="{545DF49B-5BBB-4D90-8045-0B163981F77E}"/>
    <cellStyle name="Normal 5 4 2 4 2 3" xfId="11619" xr:uid="{E6815510-ED49-428E-82BF-FBB10294A7AF}"/>
    <cellStyle name="Normal 5 4 2 4 3" xfId="5242" xr:uid="{00000000-0005-0000-0000-0000EE1A0000}"/>
    <cellStyle name="Normal 5 4 2 4 3 2" xfId="13692" xr:uid="{B3993768-42A4-4CE3-B3AF-AEFC760B1949}"/>
    <cellStyle name="Normal 5 4 2 4 4" xfId="9474" xr:uid="{DAFC2DAB-1E52-4A85-88D3-5E93DDF740C0}"/>
    <cellStyle name="Normal 5 4 2 5" xfId="1348" xr:uid="{00000000-0005-0000-0000-0000EF1A0000}"/>
    <cellStyle name="Normal 5 4 2 5 2" xfId="3578" xr:uid="{00000000-0005-0000-0000-0000F01A0000}"/>
    <cellStyle name="Normal 5 4 2 5 2 2" xfId="7800" xr:uid="{00000000-0005-0000-0000-0000F11A0000}"/>
    <cellStyle name="Normal 5 4 2 5 2 2 2" xfId="16250" xr:uid="{56E0D860-01A9-42AD-B01D-5B510C3512C0}"/>
    <cellStyle name="Normal 5 4 2 5 2 3" xfId="12032" xr:uid="{407C75AA-E194-439B-805D-57F5264F26F7}"/>
    <cellStyle name="Normal 5 4 2 5 3" xfId="5655" xr:uid="{00000000-0005-0000-0000-0000F21A0000}"/>
    <cellStyle name="Normal 5 4 2 5 3 2" xfId="14105" xr:uid="{66E42097-5EAD-4440-A835-F67A126B772C}"/>
    <cellStyle name="Normal 5 4 2 5 4" xfId="9887" xr:uid="{45ADE3A8-6400-4A0F-B722-1D01B94828A7}"/>
    <cellStyle name="Normal 5 4 2 6" xfId="1761" xr:uid="{00000000-0005-0000-0000-0000F31A0000}"/>
    <cellStyle name="Normal 5 4 2 6 2" xfId="3991" xr:uid="{00000000-0005-0000-0000-0000F41A0000}"/>
    <cellStyle name="Normal 5 4 2 6 2 2" xfId="8213" xr:uid="{00000000-0005-0000-0000-0000F51A0000}"/>
    <cellStyle name="Normal 5 4 2 6 2 2 2" xfId="16663" xr:uid="{905DD55F-7427-4AE5-882D-A4C6B0A48984}"/>
    <cellStyle name="Normal 5 4 2 6 2 3" xfId="12445" xr:uid="{08E313DA-B8E2-4219-83CB-7294736A6652}"/>
    <cellStyle name="Normal 5 4 2 6 3" xfId="6068" xr:uid="{00000000-0005-0000-0000-0000F61A0000}"/>
    <cellStyle name="Normal 5 4 2 6 3 2" xfId="14518" xr:uid="{FD03F591-1C8C-41A6-A918-7ACFA08D2512}"/>
    <cellStyle name="Normal 5 4 2 6 4" xfId="10300" xr:uid="{366027EB-ADF9-4482-833C-7250343DDA3E}"/>
    <cellStyle name="Normal 5 4 2 7" xfId="2175" xr:uid="{00000000-0005-0000-0000-0000F71A0000}"/>
    <cellStyle name="Normal 5 4 2 7 2" xfId="4404" xr:uid="{00000000-0005-0000-0000-0000F81A0000}"/>
    <cellStyle name="Normal 5 4 2 7 2 2" xfId="8626" xr:uid="{00000000-0005-0000-0000-0000F91A0000}"/>
    <cellStyle name="Normal 5 4 2 7 2 2 2" xfId="17076" xr:uid="{3416352D-CC6C-44D7-9145-F5FED26665A4}"/>
    <cellStyle name="Normal 5 4 2 7 2 3" xfId="12858" xr:uid="{3E7CF77D-306B-48AE-8CC8-E9D02547AA47}"/>
    <cellStyle name="Normal 5 4 2 7 3" xfId="6481" xr:uid="{00000000-0005-0000-0000-0000FA1A0000}"/>
    <cellStyle name="Normal 5 4 2 7 3 2" xfId="14931" xr:uid="{279B37E5-226E-4360-9DDA-EBB546ABA233}"/>
    <cellStyle name="Normal 5 4 2 7 4" xfId="10713" xr:uid="{57682353-FEF6-42B4-923B-864A8611D40A}"/>
    <cellStyle name="Normal 5 4 2 8" xfId="2611" xr:uid="{00000000-0005-0000-0000-0000FB1A0000}"/>
    <cellStyle name="Normal 5 4 2 8 2" xfId="6894" xr:uid="{00000000-0005-0000-0000-0000FC1A0000}"/>
    <cellStyle name="Normal 5 4 2 8 2 2" xfId="15344" xr:uid="{05C8E7B6-E04F-456F-9083-3F5CED759BC3}"/>
    <cellStyle name="Normal 5 4 2 8 3" xfId="11126" xr:uid="{B03C77CE-D145-4965-82BC-A4D624CBF2B0}"/>
    <cellStyle name="Normal 5 4 2 9" xfId="4829" xr:uid="{00000000-0005-0000-0000-0000FD1A0000}"/>
    <cellStyle name="Normal 5 4 2 9 2" xfId="13279" xr:uid="{EBE634AE-8CC1-467F-AF5C-610BF2FD5CE3}"/>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2 2 2" xfId="15842" xr:uid="{DC0BAF08-13D6-45A8-B278-7E589321B8CB}"/>
    <cellStyle name="Normal 5 4 3 2 2 2 3" xfId="11624" xr:uid="{3605DEBF-59FD-4A26-B949-33ED0775448D}"/>
    <cellStyle name="Normal 5 4 3 2 2 3" xfId="5247" xr:uid="{00000000-0005-0000-0000-0000031B0000}"/>
    <cellStyle name="Normal 5 4 3 2 2 3 2" xfId="13697" xr:uid="{FDFBDBF8-8FCA-45A9-ABDA-99C54EE8D04C}"/>
    <cellStyle name="Normal 5 4 3 2 2 4" xfId="9479" xr:uid="{A93F15A4-24E3-4504-A36F-780AEBDCD499}"/>
    <cellStyle name="Normal 5 4 3 2 3" xfId="1353" xr:uid="{00000000-0005-0000-0000-0000041B0000}"/>
    <cellStyle name="Normal 5 4 3 2 3 2" xfId="3583" xr:uid="{00000000-0005-0000-0000-0000051B0000}"/>
    <cellStyle name="Normal 5 4 3 2 3 2 2" xfId="7805" xr:uid="{00000000-0005-0000-0000-0000061B0000}"/>
    <cellStyle name="Normal 5 4 3 2 3 2 2 2" xfId="16255" xr:uid="{32AF984E-2354-4C9F-AE9B-267140CB5110}"/>
    <cellStyle name="Normal 5 4 3 2 3 2 3" xfId="12037" xr:uid="{C098D42D-9C53-4AF6-904D-A94C805BE81D}"/>
    <cellStyle name="Normal 5 4 3 2 3 3" xfId="5660" xr:uid="{00000000-0005-0000-0000-0000071B0000}"/>
    <cellStyle name="Normal 5 4 3 2 3 3 2" xfId="14110" xr:uid="{657CCA4A-256D-48B5-AF19-74DDD03F10A6}"/>
    <cellStyle name="Normal 5 4 3 2 3 4" xfId="9892" xr:uid="{9E5321B4-55FD-4AB6-8119-E66365E1DE24}"/>
    <cellStyle name="Normal 5 4 3 2 4" xfId="1766" xr:uid="{00000000-0005-0000-0000-0000081B0000}"/>
    <cellStyle name="Normal 5 4 3 2 4 2" xfId="3996" xr:uid="{00000000-0005-0000-0000-0000091B0000}"/>
    <cellStyle name="Normal 5 4 3 2 4 2 2" xfId="8218" xr:uid="{00000000-0005-0000-0000-00000A1B0000}"/>
    <cellStyle name="Normal 5 4 3 2 4 2 2 2" xfId="16668" xr:uid="{25148E23-7FF1-4A17-A646-545D33A27813}"/>
    <cellStyle name="Normal 5 4 3 2 4 2 3" xfId="12450" xr:uid="{4CB070A2-1030-4F0B-BB39-EED305A0BD41}"/>
    <cellStyle name="Normal 5 4 3 2 4 3" xfId="6073" xr:uid="{00000000-0005-0000-0000-00000B1B0000}"/>
    <cellStyle name="Normal 5 4 3 2 4 3 2" xfId="14523" xr:uid="{25096CA4-3727-47F7-BE1C-68E785B547A7}"/>
    <cellStyle name="Normal 5 4 3 2 4 4" xfId="10305" xr:uid="{25F4C3C7-AD08-4460-A755-35D43A519A8C}"/>
    <cellStyle name="Normal 5 4 3 2 5" xfId="2180" xr:uid="{00000000-0005-0000-0000-00000C1B0000}"/>
    <cellStyle name="Normal 5 4 3 2 5 2" xfId="4409" xr:uid="{00000000-0005-0000-0000-00000D1B0000}"/>
    <cellStyle name="Normal 5 4 3 2 5 2 2" xfId="8631" xr:uid="{00000000-0005-0000-0000-00000E1B0000}"/>
    <cellStyle name="Normal 5 4 3 2 5 2 2 2" xfId="17081" xr:uid="{5D99EA5E-DF64-442F-ACF2-E15ACF905BB7}"/>
    <cellStyle name="Normal 5 4 3 2 5 2 3" xfId="12863" xr:uid="{641AE09E-1623-4345-BBB2-43D1A04EC883}"/>
    <cellStyle name="Normal 5 4 3 2 5 3" xfId="6486" xr:uid="{00000000-0005-0000-0000-00000F1B0000}"/>
    <cellStyle name="Normal 5 4 3 2 5 3 2" xfId="14936" xr:uid="{68CFF289-9ACA-4D9B-85E5-0DC155751E7E}"/>
    <cellStyle name="Normal 5 4 3 2 5 4" xfId="10718" xr:uid="{8B2948E0-EF28-4F65-A698-5829672AA885}"/>
    <cellStyle name="Normal 5 4 3 2 6" xfId="2616" xr:uid="{00000000-0005-0000-0000-0000101B0000}"/>
    <cellStyle name="Normal 5 4 3 2 6 2" xfId="6899" xr:uid="{00000000-0005-0000-0000-0000111B0000}"/>
    <cellStyle name="Normal 5 4 3 2 6 2 2" xfId="15349" xr:uid="{2579F138-9E94-4FFC-BA94-BF0C82CA92D0}"/>
    <cellStyle name="Normal 5 4 3 2 6 3" xfId="11131" xr:uid="{845C8B78-F322-4AEA-8AC1-B24FF9F4C64B}"/>
    <cellStyle name="Normal 5 4 3 2 7" xfId="4834" xr:uid="{00000000-0005-0000-0000-0000121B0000}"/>
    <cellStyle name="Normal 5 4 3 2 7 2" xfId="13284" xr:uid="{EA341C76-A80E-46B7-85DE-521311902C09}"/>
    <cellStyle name="Normal 5 4 3 2 8" xfId="9066" xr:uid="{AE81C462-EB87-483B-854C-C58221DD3725}"/>
    <cellStyle name="Normal 5 4 3 3" xfId="935" xr:uid="{00000000-0005-0000-0000-0000131B0000}"/>
    <cellStyle name="Normal 5 4 3 3 2" xfId="3169" xr:uid="{00000000-0005-0000-0000-0000141B0000}"/>
    <cellStyle name="Normal 5 4 3 3 2 2" xfId="7391" xr:uid="{00000000-0005-0000-0000-0000151B0000}"/>
    <cellStyle name="Normal 5 4 3 3 2 2 2" xfId="15841" xr:uid="{F816AEDD-2E34-4CF9-BD12-29ED5414857E}"/>
    <cellStyle name="Normal 5 4 3 3 2 3" xfId="11623" xr:uid="{195CAEA6-9994-42E6-9116-4FB997552FC6}"/>
    <cellStyle name="Normal 5 4 3 3 3" xfId="5246" xr:uid="{00000000-0005-0000-0000-0000161B0000}"/>
    <cellStyle name="Normal 5 4 3 3 3 2" xfId="13696" xr:uid="{172EF921-6A4D-4A91-9183-5F023F6DA21E}"/>
    <cellStyle name="Normal 5 4 3 3 4" xfId="9478" xr:uid="{C234EAAA-EEEC-4AA8-8743-EEAF2BAD018E}"/>
    <cellStyle name="Normal 5 4 3 4" xfId="1352" xr:uid="{00000000-0005-0000-0000-0000171B0000}"/>
    <cellStyle name="Normal 5 4 3 4 2" xfId="3582" xr:uid="{00000000-0005-0000-0000-0000181B0000}"/>
    <cellStyle name="Normal 5 4 3 4 2 2" xfId="7804" xr:uid="{00000000-0005-0000-0000-0000191B0000}"/>
    <cellStyle name="Normal 5 4 3 4 2 2 2" xfId="16254" xr:uid="{33D1E832-68C9-464C-9452-4DCD87828B02}"/>
    <cellStyle name="Normal 5 4 3 4 2 3" xfId="12036" xr:uid="{8FE92F5A-3863-47E1-81B5-F94735A9F9F9}"/>
    <cellStyle name="Normal 5 4 3 4 3" xfId="5659" xr:uid="{00000000-0005-0000-0000-00001A1B0000}"/>
    <cellStyle name="Normal 5 4 3 4 3 2" xfId="14109" xr:uid="{0AB5EF34-36D0-4642-884F-5D6EBDBF5212}"/>
    <cellStyle name="Normal 5 4 3 4 4" xfId="9891" xr:uid="{948C3F6C-1DBB-4A92-957E-AD50501CED2E}"/>
    <cellStyle name="Normal 5 4 3 5" xfId="1765" xr:uid="{00000000-0005-0000-0000-00001B1B0000}"/>
    <cellStyle name="Normal 5 4 3 5 2" xfId="3995" xr:uid="{00000000-0005-0000-0000-00001C1B0000}"/>
    <cellStyle name="Normal 5 4 3 5 2 2" xfId="8217" xr:uid="{00000000-0005-0000-0000-00001D1B0000}"/>
    <cellStyle name="Normal 5 4 3 5 2 2 2" xfId="16667" xr:uid="{F67B5691-44B2-423B-874B-1C703846D5D4}"/>
    <cellStyle name="Normal 5 4 3 5 2 3" xfId="12449" xr:uid="{3E680F7B-09CC-43C1-B79E-3DA4ED87E3DA}"/>
    <cellStyle name="Normal 5 4 3 5 3" xfId="6072" xr:uid="{00000000-0005-0000-0000-00001E1B0000}"/>
    <cellStyle name="Normal 5 4 3 5 3 2" xfId="14522" xr:uid="{425A5E96-E0BC-45C4-B361-21611B0BE29D}"/>
    <cellStyle name="Normal 5 4 3 5 4" xfId="10304" xr:uid="{9DDB5A2D-47E1-4E41-9A1A-D59BE9633873}"/>
    <cellStyle name="Normal 5 4 3 6" xfId="2179" xr:uid="{00000000-0005-0000-0000-00001F1B0000}"/>
    <cellStyle name="Normal 5 4 3 6 2" xfId="4408" xr:uid="{00000000-0005-0000-0000-0000201B0000}"/>
    <cellStyle name="Normal 5 4 3 6 2 2" xfId="8630" xr:uid="{00000000-0005-0000-0000-0000211B0000}"/>
    <cellStyle name="Normal 5 4 3 6 2 2 2" xfId="17080" xr:uid="{6899A9CB-FF35-40E4-AC4D-9EE32886C963}"/>
    <cellStyle name="Normal 5 4 3 6 2 3" xfId="12862" xr:uid="{95548EC5-210D-4959-94CE-DDDCB8B75FCE}"/>
    <cellStyle name="Normal 5 4 3 6 3" xfId="6485" xr:uid="{00000000-0005-0000-0000-0000221B0000}"/>
    <cellStyle name="Normal 5 4 3 6 3 2" xfId="14935" xr:uid="{6DEADAE5-6D26-4E4A-934C-24C90BBDD8D4}"/>
    <cellStyle name="Normal 5 4 3 6 4" xfId="10717" xr:uid="{C86ED1D9-CD7A-44F6-BD46-D583C5037213}"/>
    <cellStyle name="Normal 5 4 3 7" xfId="2615" xr:uid="{00000000-0005-0000-0000-0000231B0000}"/>
    <cellStyle name="Normal 5 4 3 7 2" xfId="6898" xr:uid="{00000000-0005-0000-0000-0000241B0000}"/>
    <cellStyle name="Normal 5 4 3 7 2 2" xfId="15348" xr:uid="{E2F3C2AB-004D-4A4A-A316-36E1B680FE85}"/>
    <cellStyle name="Normal 5 4 3 7 3" xfId="11130" xr:uid="{F4BB62A3-BB03-45A2-9F98-29EE3B04A0E4}"/>
    <cellStyle name="Normal 5 4 3 8" xfId="4833" xr:uid="{00000000-0005-0000-0000-0000251B0000}"/>
    <cellStyle name="Normal 5 4 3 8 2" xfId="13283" xr:uid="{3187C6BF-5550-44AF-B27B-E592B5D8254D}"/>
    <cellStyle name="Normal 5 4 3 9" xfId="9065" xr:uid="{32799C2D-CC22-48DB-A5F5-724846966D37}"/>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2 2 2" xfId="15843" xr:uid="{C58F9761-EF56-4E6A-ADD8-A8D24E6F26A9}"/>
    <cellStyle name="Normal 5 4 4 2 2 3" xfId="11625" xr:uid="{2CC78576-BB62-4E72-8524-8D1B63C338F5}"/>
    <cellStyle name="Normal 5 4 4 2 3" xfId="5248" xr:uid="{00000000-0005-0000-0000-00002A1B0000}"/>
    <cellStyle name="Normal 5 4 4 2 3 2" xfId="13698" xr:uid="{A761130A-9E55-4CA0-821E-F8160236FA27}"/>
    <cellStyle name="Normal 5 4 4 2 4" xfId="9480" xr:uid="{FCF0A22B-E54F-4C43-A591-53667542C612}"/>
    <cellStyle name="Normal 5 4 4 3" xfId="1354" xr:uid="{00000000-0005-0000-0000-00002B1B0000}"/>
    <cellStyle name="Normal 5 4 4 3 2" xfId="3584" xr:uid="{00000000-0005-0000-0000-00002C1B0000}"/>
    <cellStyle name="Normal 5 4 4 3 2 2" xfId="7806" xr:uid="{00000000-0005-0000-0000-00002D1B0000}"/>
    <cellStyle name="Normal 5 4 4 3 2 2 2" xfId="16256" xr:uid="{383730D9-AC33-49F5-8FB2-28CF17F136BC}"/>
    <cellStyle name="Normal 5 4 4 3 2 3" xfId="12038" xr:uid="{9F1F7BBC-2A79-4097-8E59-3584B32C45BB}"/>
    <cellStyle name="Normal 5 4 4 3 3" xfId="5661" xr:uid="{00000000-0005-0000-0000-00002E1B0000}"/>
    <cellStyle name="Normal 5 4 4 3 3 2" xfId="14111" xr:uid="{FB9CDCCE-0884-4979-80FD-D59C5DAE9DF5}"/>
    <cellStyle name="Normal 5 4 4 3 4" xfId="9893" xr:uid="{E33675BC-6D25-41FA-8B2C-F9085DCF14B5}"/>
    <cellStyle name="Normal 5 4 4 4" xfId="1767" xr:uid="{00000000-0005-0000-0000-00002F1B0000}"/>
    <cellStyle name="Normal 5 4 4 4 2" xfId="3997" xr:uid="{00000000-0005-0000-0000-0000301B0000}"/>
    <cellStyle name="Normal 5 4 4 4 2 2" xfId="8219" xr:uid="{00000000-0005-0000-0000-0000311B0000}"/>
    <cellStyle name="Normal 5 4 4 4 2 2 2" xfId="16669" xr:uid="{0658D97B-5491-442A-8B5F-CD7C2976FEC2}"/>
    <cellStyle name="Normal 5 4 4 4 2 3" xfId="12451" xr:uid="{4CCFD3E6-2ACC-49CE-BC2C-987688A9E023}"/>
    <cellStyle name="Normal 5 4 4 4 3" xfId="6074" xr:uid="{00000000-0005-0000-0000-0000321B0000}"/>
    <cellStyle name="Normal 5 4 4 4 3 2" xfId="14524" xr:uid="{40852751-920A-4A76-92D2-0AF0A06E8C3F}"/>
    <cellStyle name="Normal 5 4 4 4 4" xfId="10306" xr:uid="{0ED94833-AE30-4316-9894-8A360275D341}"/>
    <cellStyle name="Normal 5 4 4 5" xfId="2181" xr:uid="{00000000-0005-0000-0000-0000331B0000}"/>
    <cellStyle name="Normal 5 4 4 5 2" xfId="4410" xr:uid="{00000000-0005-0000-0000-0000341B0000}"/>
    <cellStyle name="Normal 5 4 4 5 2 2" xfId="8632" xr:uid="{00000000-0005-0000-0000-0000351B0000}"/>
    <cellStyle name="Normal 5 4 4 5 2 2 2" xfId="17082" xr:uid="{9A00BFD9-4928-4AD3-935E-CFFDD6493005}"/>
    <cellStyle name="Normal 5 4 4 5 2 3" xfId="12864" xr:uid="{1BB10373-C57D-4E83-AD3F-2382BED550C0}"/>
    <cellStyle name="Normal 5 4 4 5 3" xfId="6487" xr:uid="{00000000-0005-0000-0000-0000361B0000}"/>
    <cellStyle name="Normal 5 4 4 5 3 2" xfId="14937" xr:uid="{03753B38-0A3C-4CD7-82F1-A55606F7B0B6}"/>
    <cellStyle name="Normal 5 4 4 5 4" xfId="10719" xr:uid="{79FE10BF-7577-405D-B748-4621451D1DC0}"/>
    <cellStyle name="Normal 5 4 4 6" xfId="2617" xr:uid="{00000000-0005-0000-0000-0000371B0000}"/>
    <cellStyle name="Normal 5 4 4 6 2" xfId="6900" xr:uid="{00000000-0005-0000-0000-0000381B0000}"/>
    <cellStyle name="Normal 5 4 4 6 2 2" xfId="15350" xr:uid="{630FF63E-1A3C-40FF-A2A8-85A7DD10CF54}"/>
    <cellStyle name="Normal 5 4 4 6 3" xfId="11132" xr:uid="{3C01851A-24CA-48DE-B97C-7A2D08A8D092}"/>
    <cellStyle name="Normal 5 4 4 7" xfId="4835" xr:uid="{00000000-0005-0000-0000-0000391B0000}"/>
    <cellStyle name="Normal 5 4 4 7 2" xfId="13285" xr:uid="{B88770C9-3CB7-4948-8E8C-DF9B6D191820}"/>
    <cellStyle name="Normal 5 4 4 8" xfId="9067" xr:uid="{49403F4F-889F-42D2-A1DA-FD2B1D2C5A40}"/>
    <cellStyle name="Normal 5 4 5" xfId="930" xr:uid="{00000000-0005-0000-0000-00003A1B0000}"/>
    <cellStyle name="Normal 5 4 5 2" xfId="3164" xr:uid="{00000000-0005-0000-0000-00003B1B0000}"/>
    <cellStyle name="Normal 5 4 5 2 2" xfId="7386" xr:uid="{00000000-0005-0000-0000-00003C1B0000}"/>
    <cellStyle name="Normal 5 4 5 2 2 2" xfId="15836" xr:uid="{0D2C59F9-25A7-4FEE-BF89-302AB1E412C8}"/>
    <cellStyle name="Normal 5 4 5 2 3" xfId="11618" xr:uid="{75AD4962-0365-4BC6-B16D-227CB15DBAE1}"/>
    <cellStyle name="Normal 5 4 5 3" xfId="5241" xr:uid="{00000000-0005-0000-0000-00003D1B0000}"/>
    <cellStyle name="Normal 5 4 5 3 2" xfId="13691" xr:uid="{EFFCB47E-3C53-4A63-A2B4-3F772B14F07D}"/>
    <cellStyle name="Normal 5 4 5 4" xfId="9473" xr:uid="{AEA97FD2-2058-4495-BE57-D157452137C5}"/>
    <cellStyle name="Normal 5 4 6" xfId="1347" xr:uid="{00000000-0005-0000-0000-00003E1B0000}"/>
    <cellStyle name="Normal 5 4 6 2" xfId="3577" xr:uid="{00000000-0005-0000-0000-00003F1B0000}"/>
    <cellStyle name="Normal 5 4 6 2 2" xfId="7799" xr:uid="{00000000-0005-0000-0000-0000401B0000}"/>
    <cellStyle name="Normal 5 4 6 2 2 2" xfId="16249" xr:uid="{7C0F1956-154D-4258-B6DE-2FD3B68717E0}"/>
    <cellStyle name="Normal 5 4 6 2 3" xfId="12031" xr:uid="{A3071FE8-3443-440B-92A9-39BB289BF5BD}"/>
    <cellStyle name="Normal 5 4 6 3" xfId="5654" xr:uid="{00000000-0005-0000-0000-0000411B0000}"/>
    <cellStyle name="Normal 5 4 6 3 2" xfId="14104" xr:uid="{BFD54DFE-B6CD-48A1-BB19-A857EEEDC171}"/>
    <cellStyle name="Normal 5 4 6 4" xfId="9886" xr:uid="{59B71F6E-C84A-42F3-AF66-6D4DE193BD06}"/>
    <cellStyle name="Normal 5 4 7" xfId="1760" xr:uid="{00000000-0005-0000-0000-0000421B0000}"/>
    <cellStyle name="Normal 5 4 7 2" xfId="3990" xr:uid="{00000000-0005-0000-0000-0000431B0000}"/>
    <cellStyle name="Normal 5 4 7 2 2" xfId="8212" xr:uid="{00000000-0005-0000-0000-0000441B0000}"/>
    <cellStyle name="Normal 5 4 7 2 2 2" xfId="16662" xr:uid="{57AA303D-D11F-4463-9383-82C8B0515AD6}"/>
    <cellStyle name="Normal 5 4 7 2 3" xfId="12444" xr:uid="{738EAB02-F2C9-41AF-BB50-42E8F83D755B}"/>
    <cellStyle name="Normal 5 4 7 3" xfId="6067" xr:uid="{00000000-0005-0000-0000-0000451B0000}"/>
    <cellStyle name="Normal 5 4 7 3 2" xfId="14517" xr:uid="{521DDD5E-8EA6-4BA8-AD94-9D6DCCFB1C27}"/>
    <cellStyle name="Normal 5 4 7 4" xfId="10299" xr:uid="{27DF5E4A-B7F7-4623-BB23-38B3F6F567D2}"/>
    <cellStyle name="Normal 5 4 8" xfId="2174" xr:uid="{00000000-0005-0000-0000-0000461B0000}"/>
    <cellStyle name="Normal 5 4 8 2" xfId="4403" xr:uid="{00000000-0005-0000-0000-0000471B0000}"/>
    <cellStyle name="Normal 5 4 8 2 2" xfId="8625" xr:uid="{00000000-0005-0000-0000-0000481B0000}"/>
    <cellStyle name="Normal 5 4 8 2 2 2" xfId="17075" xr:uid="{3D1904B0-7A57-4942-B61F-72BA12CD19ED}"/>
    <cellStyle name="Normal 5 4 8 2 3" xfId="12857" xr:uid="{CD8F757D-6401-4998-AB39-1B4F54C9A974}"/>
    <cellStyle name="Normal 5 4 8 3" xfId="6480" xr:uid="{00000000-0005-0000-0000-0000491B0000}"/>
    <cellStyle name="Normal 5 4 8 3 2" xfId="14930" xr:uid="{C4F0E698-3FDA-4F09-B034-0B5D47BDE904}"/>
    <cellStyle name="Normal 5 4 8 4" xfId="10712" xr:uid="{1B774434-EC8A-4B85-BA35-CB792D492926}"/>
    <cellStyle name="Normal 5 4 9" xfId="2610" xr:uid="{00000000-0005-0000-0000-00004A1B0000}"/>
    <cellStyle name="Normal 5 4 9 2" xfId="6893" xr:uid="{00000000-0005-0000-0000-00004B1B0000}"/>
    <cellStyle name="Normal 5 4 9 2 2" xfId="15343" xr:uid="{89383312-C8F6-488D-B1FC-918EAF70CFFA}"/>
    <cellStyle name="Normal 5 4 9 3" xfId="11125" xr:uid="{E285E373-E1BB-4DEA-A369-9C613488372E}"/>
    <cellStyle name="Normal 5 5" xfId="464" xr:uid="{00000000-0005-0000-0000-00004C1B0000}"/>
    <cellStyle name="Normal 5 5 10" xfId="9068" xr:uid="{75ED90B0-D714-4821-8191-A70DAA14E173}"/>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2 2 2" xfId="15846" xr:uid="{040503C0-903A-4784-8BEE-5AA67ECBF3E9}"/>
    <cellStyle name="Normal 5 5 2 2 2 2 3" xfId="11628" xr:uid="{35B44689-5457-457A-A166-388F381666C1}"/>
    <cellStyle name="Normal 5 5 2 2 2 3" xfId="5251" xr:uid="{00000000-0005-0000-0000-0000521B0000}"/>
    <cellStyle name="Normal 5 5 2 2 2 3 2" xfId="13701" xr:uid="{4503E606-7D00-4492-A255-2721B4E2E678}"/>
    <cellStyle name="Normal 5 5 2 2 2 4" xfId="9483" xr:uid="{AA716018-E528-46AA-807F-D64172086518}"/>
    <cellStyle name="Normal 5 5 2 2 3" xfId="1357" xr:uid="{00000000-0005-0000-0000-0000531B0000}"/>
    <cellStyle name="Normal 5 5 2 2 3 2" xfId="3587" xr:uid="{00000000-0005-0000-0000-0000541B0000}"/>
    <cellStyle name="Normal 5 5 2 2 3 2 2" xfId="7809" xr:uid="{00000000-0005-0000-0000-0000551B0000}"/>
    <cellStyle name="Normal 5 5 2 2 3 2 2 2" xfId="16259" xr:uid="{9E07310D-20B4-4E36-8055-D49AB6C689EB}"/>
    <cellStyle name="Normal 5 5 2 2 3 2 3" xfId="12041" xr:uid="{870AB308-D36E-4B3E-903E-3A5C484E97CF}"/>
    <cellStyle name="Normal 5 5 2 2 3 3" xfId="5664" xr:uid="{00000000-0005-0000-0000-0000561B0000}"/>
    <cellStyle name="Normal 5 5 2 2 3 3 2" xfId="14114" xr:uid="{FABEB055-7546-4364-923C-85BFA1D74F06}"/>
    <cellStyle name="Normal 5 5 2 2 3 4" xfId="9896" xr:uid="{5E030D78-100B-4FAA-9464-6BD755D86129}"/>
    <cellStyle name="Normal 5 5 2 2 4" xfId="1770" xr:uid="{00000000-0005-0000-0000-0000571B0000}"/>
    <cellStyle name="Normal 5 5 2 2 4 2" xfId="4000" xr:uid="{00000000-0005-0000-0000-0000581B0000}"/>
    <cellStyle name="Normal 5 5 2 2 4 2 2" xfId="8222" xr:uid="{00000000-0005-0000-0000-0000591B0000}"/>
    <cellStyle name="Normal 5 5 2 2 4 2 2 2" xfId="16672" xr:uid="{F78C25AD-7063-4FA3-8D55-5D3B470F2E9F}"/>
    <cellStyle name="Normal 5 5 2 2 4 2 3" xfId="12454" xr:uid="{E498A4C4-E308-466C-AE5F-2727984454F4}"/>
    <cellStyle name="Normal 5 5 2 2 4 3" xfId="6077" xr:uid="{00000000-0005-0000-0000-00005A1B0000}"/>
    <cellStyle name="Normal 5 5 2 2 4 3 2" xfId="14527" xr:uid="{A5259E3A-6162-4ED1-9217-D8F04EECC076}"/>
    <cellStyle name="Normal 5 5 2 2 4 4" xfId="10309" xr:uid="{19B9CDA9-F736-44B0-B1B2-8DAA00C72795}"/>
    <cellStyle name="Normal 5 5 2 2 5" xfId="2184" xr:uid="{00000000-0005-0000-0000-00005B1B0000}"/>
    <cellStyle name="Normal 5 5 2 2 5 2" xfId="4413" xr:uid="{00000000-0005-0000-0000-00005C1B0000}"/>
    <cellStyle name="Normal 5 5 2 2 5 2 2" xfId="8635" xr:uid="{00000000-0005-0000-0000-00005D1B0000}"/>
    <cellStyle name="Normal 5 5 2 2 5 2 2 2" xfId="17085" xr:uid="{72AF5BB1-658C-407B-9225-14FFCF2BE6DA}"/>
    <cellStyle name="Normal 5 5 2 2 5 2 3" xfId="12867" xr:uid="{4EA7F4F1-5C76-4ACE-B908-BC139BDF3B22}"/>
    <cellStyle name="Normal 5 5 2 2 5 3" xfId="6490" xr:uid="{00000000-0005-0000-0000-00005E1B0000}"/>
    <cellStyle name="Normal 5 5 2 2 5 3 2" xfId="14940" xr:uid="{C6048733-92FB-416F-A34F-6B77737915B9}"/>
    <cellStyle name="Normal 5 5 2 2 5 4" xfId="10722" xr:uid="{3C6A25F5-532A-42C6-9224-19D980A455CE}"/>
    <cellStyle name="Normal 5 5 2 2 6" xfId="2620" xr:uid="{00000000-0005-0000-0000-00005F1B0000}"/>
    <cellStyle name="Normal 5 5 2 2 6 2" xfId="6903" xr:uid="{00000000-0005-0000-0000-0000601B0000}"/>
    <cellStyle name="Normal 5 5 2 2 6 2 2" xfId="15353" xr:uid="{E729B160-64F8-4398-BA1D-3FEF74C97593}"/>
    <cellStyle name="Normal 5 5 2 2 6 3" xfId="11135" xr:uid="{4F3227E0-7F43-40BE-9665-21C513B2E660}"/>
    <cellStyle name="Normal 5 5 2 2 7" xfId="4838" xr:uid="{00000000-0005-0000-0000-0000611B0000}"/>
    <cellStyle name="Normal 5 5 2 2 7 2" xfId="13288" xr:uid="{174673C4-79A8-4802-B5BA-1040362555CA}"/>
    <cellStyle name="Normal 5 5 2 2 8" xfId="9070" xr:uid="{BDF9C96C-7A91-433F-BA45-6F0F77C15DB8}"/>
    <cellStyle name="Normal 5 5 2 3" xfId="939" xr:uid="{00000000-0005-0000-0000-0000621B0000}"/>
    <cellStyle name="Normal 5 5 2 3 2" xfId="3173" xr:uid="{00000000-0005-0000-0000-0000631B0000}"/>
    <cellStyle name="Normal 5 5 2 3 2 2" xfId="7395" xr:uid="{00000000-0005-0000-0000-0000641B0000}"/>
    <cellStyle name="Normal 5 5 2 3 2 2 2" xfId="15845" xr:uid="{18D2B6CA-A981-4943-816E-59BFFF8F40BA}"/>
    <cellStyle name="Normal 5 5 2 3 2 3" xfId="11627" xr:uid="{0D834593-D206-48AB-B266-D4E300033E4C}"/>
    <cellStyle name="Normal 5 5 2 3 3" xfId="5250" xr:uid="{00000000-0005-0000-0000-0000651B0000}"/>
    <cellStyle name="Normal 5 5 2 3 3 2" xfId="13700" xr:uid="{A1C63549-8B3F-407B-A128-EB8E64015217}"/>
    <cellStyle name="Normal 5 5 2 3 4" xfId="9482" xr:uid="{AC3D8740-BCD6-46B8-9FEE-36F8F9914D48}"/>
    <cellStyle name="Normal 5 5 2 4" xfId="1356" xr:uid="{00000000-0005-0000-0000-0000661B0000}"/>
    <cellStyle name="Normal 5 5 2 4 2" xfId="3586" xr:uid="{00000000-0005-0000-0000-0000671B0000}"/>
    <cellStyle name="Normal 5 5 2 4 2 2" xfId="7808" xr:uid="{00000000-0005-0000-0000-0000681B0000}"/>
    <cellStyle name="Normal 5 5 2 4 2 2 2" xfId="16258" xr:uid="{DEA0445E-444C-471B-9FB5-A8E2601AEFEC}"/>
    <cellStyle name="Normal 5 5 2 4 2 3" xfId="12040" xr:uid="{9DB06EB6-91C0-46EA-8880-2A1337A1FBB1}"/>
    <cellStyle name="Normal 5 5 2 4 3" xfId="5663" xr:uid="{00000000-0005-0000-0000-0000691B0000}"/>
    <cellStyle name="Normal 5 5 2 4 3 2" xfId="14113" xr:uid="{29927D4B-4DAE-4DDD-A766-BC6176000492}"/>
    <cellStyle name="Normal 5 5 2 4 4" xfId="9895" xr:uid="{87D195C1-C319-4A2B-8AAD-849F37B04CEC}"/>
    <cellStyle name="Normal 5 5 2 5" xfId="1769" xr:uid="{00000000-0005-0000-0000-00006A1B0000}"/>
    <cellStyle name="Normal 5 5 2 5 2" xfId="3999" xr:uid="{00000000-0005-0000-0000-00006B1B0000}"/>
    <cellStyle name="Normal 5 5 2 5 2 2" xfId="8221" xr:uid="{00000000-0005-0000-0000-00006C1B0000}"/>
    <cellStyle name="Normal 5 5 2 5 2 2 2" xfId="16671" xr:uid="{65B8247F-D4EA-4532-8F6E-08EF0F331900}"/>
    <cellStyle name="Normal 5 5 2 5 2 3" xfId="12453" xr:uid="{AD9D260B-DD45-40E8-A2FC-93971A9FD839}"/>
    <cellStyle name="Normal 5 5 2 5 3" xfId="6076" xr:uid="{00000000-0005-0000-0000-00006D1B0000}"/>
    <cellStyle name="Normal 5 5 2 5 3 2" xfId="14526" xr:uid="{2D00CD3F-ACBC-42CD-A2C6-9942297B750C}"/>
    <cellStyle name="Normal 5 5 2 5 4" xfId="10308" xr:uid="{F51E944E-1C30-4F65-87F2-328F43C9F94E}"/>
    <cellStyle name="Normal 5 5 2 6" xfId="2183" xr:uid="{00000000-0005-0000-0000-00006E1B0000}"/>
    <cellStyle name="Normal 5 5 2 6 2" xfId="4412" xr:uid="{00000000-0005-0000-0000-00006F1B0000}"/>
    <cellStyle name="Normal 5 5 2 6 2 2" xfId="8634" xr:uid="{00000000-0005-0000-0000-0000701B0000}"/>
    <cellStyle name="Normal 5 5 2 6 2 2 2" xfId="17084" xr:uid="{64EB45F5-DB40-436A-AF4C-93CC0202E242}"/>
    <cellStyle name="Normal 5 5 2 6 2 3" xfId="12866" xr:uid="{B4B5D5C5-9A3F-4039-9E32-2967CB17CEC8}"/>
    <cellStyle name="Normal 5 5 2 6 3" xfId="6489" xr:uid="{00000000-0005-0000-0000-0000711B0000}"/>
    <cellStyle name="Normal 5 5 2 6 3 2" xfId="14939" xr:uid="{72BBED22-9CC9-4D6E-A084-539BC9AAB8A2}"/>
    <cellStyle name="Normal 5 5 2 6 4" xfId="10721" xr:uid="{9D1DD309-2B17-46E8-80EE-CA3AECA042AC}"/>
    <cellStyle name="Normal 5 5 2 7" xfId="2619" xr:uid="{00000000-0005-0000-0000-0000721B0000}"/>
    <cellStyle name="Normal 5 5 2 7 2" xfId="6902" xr:uid="{00000000-0005-0000-0000-0000731B0000}"/>
    <cellStyle name="Normal 5 5 2 7 2 2" xfId="15352" xr:uid="{9BF14951-BEE6-494A-9E39-200ECDDF937A}"/>
    <cellStyle name="Normal 5 5 2 7 3" xfId="11134" xr:uid="{CA10A4D0-99D4-41FB-8C56-3A2575927FB3}"/>
    <cellStyle name="Normal 5 5 2 8" xfId="4837" xr:uid="{00000000-0005-0000-0000-0000741B0000}"/>
    <cellStyle name="Normal 5 5 2 8 2" xfId="13287" xr:uid="{0C88F587-94E1-45F5-A29B-313F83478DBE}"/>
    <cellStyle name="Normal 5 5 2 9" xfId="9069" xr:uid="{74CDE000-988F-4915-9BCB-545C90A746DE}"/>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2 2 2" xfId="15847" xr:uid="{EB72B4EB-EF9F-4570-9410-8781BA1E867C}"/>
    <cellStyle name="Normal 5 5 3 2 2 3" xfId="11629" xr:uid="{773BEFD3-1B33-4EDC-8476-E8BC663614BE}"/>
    <cellStyle name="Normal 5 5 3 2 3" xfId="5252" xr:uid="{00000000-0005-0000-0000-0000791B0000}"/>
    <cellStyle name="Normal 5 5 3 2 3 2" xfId="13702" xr:uid="{01D3AF12-4E72-4460-AB33-8E600D8C171E}"/>
    <cellStyle name="Normal 5 5 3 2 4" xfId="9484" xr:uid="{90FC9A94-BFE6-41D2-B048-46984E14D41C}"/>
    <cellStyle name="Normal 5 5 3 3" xfId="1358" xr:uid="{00000000-0005-0000-0000-00007A1B0000}"/>
    <cellStyle name="Normal 5 5 3 3 2" xfId="3588" xr:uid="{00000000-0005-0000-0000-00007B1B0000}"/>
    <cellStyle name="Normal 5 5 3 3 2 2" xfId="7810" xr:uid="{00000000-0005-0000-0000-00007C1B0000}"/>
    <cellStyle name="Normal 5 5 3 3 2 2 2" xfId="16260" xr:uid="{04CB74C3-ED2E-45DA-9E37-21271A0A362B}"/>
    <cellStyle name="Normal 5 5 3 3 2 3" xfId="12042" xr:uid="{BCB56A01-AA82-4497-9861-C826A04B2205}"/>
    <cellStyle name="Normal 5 5 3 3 3" xfId="5665" xr:uid="{00000000-0005-0000-0000-00007D1B0000}"/>
    <cellStyle name="Normal 5 5 3 3 3 2" xfId="14115" xr:uid="{6E184044-CABA-431B-8547-F0FD549D398F}"/>
    <cellStyle name="Normal 5 5 3 3 4" xfId="9897" xr:uid="{E9318D0D-22CB-4C1B-852B-014946EBAED3}"/>
    <cellStyle name="Normal 5 5 3 4" xfId="1771" xr:uid="{00000000-0005-0000-0000-00007E1B0000}"/>
    <cellStyle name="Normal 5 5 3 4 2" xfId="4001" xr:uid="{00000000-0005-0000-0000-00007F1B0000}"/>
    <cellStyle name="Normal 5 5 3 4 2 2" xfId="8223" xr:uid="{00000000-0005-0000-0000-0000801B0000}"/>
    <cellStyle name="Normal 5 5 3 4 2 2 2" xfId="16673" xr:uid="{CE5D46A4-3DCE-4223-8AC0-68C43ABA4E8F}"/>
    <cellStyle name="Normal 5 5 3 4 2 3" xfId="12455" xr:uid="{F1B4DE6C-1D5C-49F7-9D43-A8545B33ACD0}"/>
    <cellStyle name="Normal 5 5 3 4 3" xfId="6078" xr:uid="{00000000-0005-0000-0000-0000811B0000}"/>
    <cellStyle name="Normal 5 5 3 4 3 2" xfId="14528" xr:uid="{1004E30E-90D4-49B4-83E9-717247AF4A3F}"/>
    <cellStyle name="Normal 5 5 3 4 4" xfId="10310" xr:uid="{8910F170-E9CB-4BA7-B180-60C794B5D333}"/>
    <cellStyle name="Normal 5 5 3 5" xfId="2185" xr:uid="{00000000-0005-0000-0000-0000821B0000}"/>
    <cellStyle name="Normal 5 5 3 5 2" xfId="4414" xr:uid="{00000000-0005-0000-0000-0000831B0000}"/>
    <cellStyle name="Normal 5 5 3 5 2 2" xfId="8636" xr:uid="{00000000-0005-0000-0000-0000841B0000}"/>
    <cellStyle name="Normal 5 5 3 5 2 2 2" xfId="17086" xr:uid="{C2051879-58B9-48DE-8866-7A3F6A527866}"/>
    <cellStyle name="Normal 5 5 3 5 2 3" xfId="12868" xr:uid="{7250540D-DCD7-4D93-BFEC-8B870857F523}"/>
    <cellStyle name="Normal 5 5 3 5 3" xfId="6491" xr:uid="{00000000-0005-0000-0000-0000851B0000}"/>
    <cellStyle name="Normal 5 5 3 5 3 2" xfId="14941" xr:uid="{E307AB7D-0669-40AD-8A4A-E9F8A571F73B}"/>
    <cellStyle name="Normal 5 5 3 5 4" xfId="10723" xr:uid="{0975779B-4EB7-419B-91CD-F1C0FCCDBEEF}"/>
    <cellStyle name="Normal 5 5 3 6" xfId="2621" xr:uid="{00000000-0005-0000-0000-0000861B0000}"/>
    <cellStyle name="Normal 5 5 3 6 2" xfId="6904" xr:uid="{00000000-0005-0000-0000-0000871B0000}"/>
    <cellStyle name="Normal 5 5 3 6 2 2" xfId="15354" xr:uid="{5E615520-7C24-41FA-A0B8-F246D2689378}"/>
    <cellStyle name="Normal 5 5 3 6 3" xfId="11136" xr:uid="{F67BF87B-2CFC-4872-8009-1A274162712F}"/>
    <cellStyle name="Normal 5 5 3 7" xfId="4839" xr:uid="{00000000-0005-0000-0000-0000881B0000}"/>
    <cellStyle name="Normal 5 5 3 7 2" xfId="13289" xr:uid="{42F1CAE0-43D7-4469-BCDA-FDC1D27B693E}"/>
    <cellStyle name="Normal 5 5 3 8" xfId="9071" xr:uid="{6F5A4DB9-0E1D-47E0-B737-B520C9F32678}"/>
    <cellStyle name="Normal 5 5 4" xfId="938" xr:uid="{00000000-0005-0000-0000-0000891B0000}"/>
    <cellStyle name="Normal 5 5 4 2" xfId="3172" xr:uid="{00000000-0005-0000-0000-00008A1B0000}"/>
    <cellStyle name="Normal 5 5 4 2 2" xfId="7394" xr:uid="{00000000-0005-0000-0000-00008B1B0000}"/>
    <cellStyle name="Normal 5 5 4 2 2 2" xfId="15844" xr:uid="{CF8CE756-6615-4AE3-9792-DB74A3D57729}"/>
    <cellStyle name="Normal 5 5 4 2 3" xfId="11626" xr:uid="{14704F1E-111D-4190-B18B-6A61448400F3}"/>
    <cellStyle name="Normal 5 5 4 3" xfId="5249" xr:uid="{00000000-0005-0000-0000-00008C1B0000}"/>
    <cellStyle name="Normal 5 5 4 3 2" xfId="13699" xr:uid="{46F658DA-9F36-42B5-A331-CE25A19B1B38}"/>
    <cellStyle name="Normal 5 5 4 4" xfId="9481" xr:uid="{231A41CA-3EF3-4279-845B-0ECD75B747FE}"/>
    <cellStyle name="Normal 5 5 5" xfId="1355" xr:uid="{00000000-0005-0000-0000-00008D1B0000}"/>
    <cellStyle name="Normal 5 5 5 2" xfId="3585" xr:uid="{00000000-0005-0000-0000-00008E1B0000}"/>
    <cellStyle name="Normal 5 5 5 2 2" xfId="7807" xr:uid="{00000000-0005-0000-0000-00008F1B0000}"/>
    <cellStyle name="Normal 5 5 5 2 2 2" xfId="16257" xr:uid="{A0C947E5-E594-48D7-97F4-F31D18276D9B}"/>
    <cellStyle name="Normal 5 5 5 2 3" xfId="12039" xr:uid="{D7D96C66-9F61-4852-AFD8-B61EE9322B10}"/>
    <cellStyle name="Normal 5 5 5 3" xfId="5662" xr:uid="{00000000-0005-0000-0000-0000901B0000}"/>
    <cellStyle name="Normal 5 5 5 3 2" xfId="14112" xr:uid="{6E2F67AF-2368-4F0C-A853-672AEE0E1840}"/>
    <cellStyle name="Normal 5 5 5 4" xfId="9894" xr:uid="{3772BA6D-F9FE-486A-989C-F920BDEFB7D6}"/>
    <cellStyle name="Normal 5 5 6" xfId="1768" xr:uid="{00000000-0005-0000-0000-0000911B0000}"/>
    <cellStyle name="Normal 5 5 6 2" xfId="3998" xr:uid="{00000000-0005-0000-0000-0000921B0000}"/>
    <cellStyle name="Normal 5 5 6 2 2" xfId="8220" xr:uid="{00000000-0005-0000-0000-0000931B0000}"/>
    <cellStyle name="Normal 5 5 6 2 2 2" xfId="16670" xr:uid="{D8E294DA-CBA3-4D44-A378-F27E62615FC9}"/>
    <cellStyle name="Normal 5 5 6 2 3" xfId="12452" xr:uid="{458FA8DF-39B2-4289-A382-500DBBC370D7}"/>
    <cellStyle name="Normal 5 5 6 3" xfId="6075" xr:uid="{00000000-0005-0000-0000-0000941B0000}"/>
    <cellStyle name="Normal 5 5 6 3 2" xfId="14525" xr:uid="{01DFD045-1E71-46B1-AF34-AADBCBD34ECB}"/>
    <cellStyle name="Normal 5 5 6 4" xfId="10307" xr:uid="{7EF84184-877C-4274-BA10-4673C03D7EFA}"/>
    <cellStyle name="Normal 5 5 7" xfId="2182" xr:uid="{00000000-0005-0000-0000-0000951B0000}"/>
    <cellStyle name="Normal 5 5 7 2" xfId="4411" xr:uid="{00000000-0005-0000-0000-0000961B0000}"/>
    <cellStyle name="Normal 5 5 7 2 2" xfId="8633" xr:uid="{00000000-0005-0000-0000-0000971B0000}"/>
    <cellStyle name="Normal 5 5 7 2 2 2" xfId="17083" xr:uid="{21F5770B-27C3-4F2B-80C1-FEE979C09BD0}"/>
    <cellStyle name="Normal 5 5 7 2 3" xfId="12865" xr:uid="{0CF58B87-ED77-47AE-A7A2-F91D644E50ED}"/>
    <cellStyle name="Normal 5 5 7 3" xfId="6488" xr:uid="{00000000-0005-0000-0000-0000981B0000}"/>
    <cellStyle name="Normal 5 5 7 3 2" xfId="14938" xr:uid="{EAB86EF3-D30B-4A3D-B482-C77CC8202E5F}"/>
    <cellStyle name="Normal 5 5 7 4" xfId="10720" xr:uid="{38EE62BA-A488-48ED-A0B2-C211BB139978}"/>
    <cellStyle name="Normal 5 5 8" xfId="2618" xr:uid="{00000000-0005-0000-0000-0000991B0000}"/>
    <cellStyle name="Normal 5 5 8 2" xfId="6901" xr:uid="{00000000-0005-0000-0000-00009A1B0000}"/>
    <cellStyle name="Normal 5 5 8 2 2" xfId="15351" xr:uid="{C64207A8-56E0-456D-8B06-C0F0F77F71EF}"/>
    <cellStyle name="Normal 5 5 8 3" xfId="11133" xr:uid="{4ED148F1-268E-454E-B12B-E764B799B976}"/>
    <cellStyle name="Normal 5 5 9" xfId="4836" xr:uid="{00000000-0005-0000-0000-00009B1B0000}"/>
    <cellStyle name="Normal 5 5 9 2" xfId="13286" xr:uid="{BA9B9938-5E07-4061-B838-2915A5740A26}"/>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2 2 2" xfId="15849" xr:uid="{C0C74452-58D4-4411-9B2E-72267ED1C7AD}"/>
    <cellStyle name="Normal 5 6 2 2 2 3" xfId="11631" xr:uid="{48F40792-FCD6-4D22-945D-6DE13A188631}"/>
    <cellStyle name="Normal 5 6 2 2 3" xfId="5254" xr:uid="{00000000-0005-0000-0000-0000A11B0000}"/>
    <cellStyle name="Normal 5 6 2 2 3 2" xfId="13704" xr:uid="{E1C5AB09-74C0-4888-9CC6-09B12DBCBC66}"/>
    <cellStyle name="Normal 5 6 2 2 4" xfId="9486" xr:uid="{7E5B641D-691C-4725-98F4-3397D7B56671}"/>
    <cellStyle name="Normal 5 6 2 3" xfId="1360" xr:uid="{00000000-0005-0000-0000-0000A21B0000}"/>
    <cellStyle name="Normal 5 6 2 3 2" xfId="3590" xr:uid="{00000000-0005-0000-0000-0000A31B0000}"/>
    <cellStyle name="Normal 5 6 2 3 2 2" xfId="7812" xr:uid="{00000000-0005-0000-0000-0000A41B0000}"/>
    <cellStyle name="Normal 5 6 2 3 2 2 2" xfId="16262" xr:uid="{31421E88-6B94-4912-BB0E-D43DD1D3D9D8}"/>
    <cellStyle name="Normal 5 6 2 3 2 3" xfId="12044" xr:uid="{E8F93EB3-BC40-452F-956D-8AE6EC1066D5}"/>
    <cellStyle name="Normal 5 6 2 3 3" xfId="5667" xr:uid="{00000000-0005-0000-0000-0000A51B0000}"/>
    <cellStyle name="Normal 5 6 2 3 3 2" xfId="14117" xr:uid="{95DC6FAF-250B-4332-924D-293FF708F236}"/>
    <cellStyle name="Normal 5 6 2 3 4" xfId="9899" xr:uid="{AD0E69B4-4E7D-46B7-A053-B90973B0DD4F}"/>
    <cellStyle name="Normal 5 6 2 4" xfId="1773" xr:uid="{00000000-0005-0000-0000-0000A61B0000}"/>
    <cellStyle name="Normal 5 6 2 4 2" xfId="4003" xr:uid="{00000000-0005-0000-0000-0000A71B0000}"/>
    <cellStyle name="Normal 5 6 2 4 2 2" xfId="8225" xr:uid="{00000000-0005-0000-0000-0000A81B0000}"/>
    <cellStyle name="Normal 5 6 2 4 2 2 2" xfId="16675" xr:uid="{6D6C7FEA-9459-4B08-8970-2FEE2BC5B879}"/>
    <cellStyle name="Normal 5 6 2 4 2 3" xfId="12457" xr:uid="{696D2881-FE83-405D-B302-42755AB120A6}"/>
    <cellStyle name="Normal 5 6 2 4 3" xfId="6080" xr:uid="{00000000-0005-0000-0000-0000A91B0000}"/>
    <cellStyle name="Normal 5 6 2 4 3 2" xfId="14530" xr:uid="{CB1538E6-1F44-49E8-861E-4622CADFEE59}"/>
    <cellStyle name="Normal 5 6 2 4 4" xfId="10312" xr:uid="{55B8DE61-8DD8-4B36-947E-C8ACC837B8E2}"/>
    <cellStyle name="Normal 5 6 2 5" xfId="2187" xr:uid="{00000000-0005-0000-0000-0000AA1B0000}"/>
    <cellStyle name="Normal 5 6 2 5 2" xfId="4416" xr:uid="{00000000-0005-0000-0000-0000AB1B0000}"/>
    <cellStyle name="Normal 5 6 2 5 2 2" xfId="8638" xr:uid="{00000000-0005-0000-0000-0000AC1B0000}"/>
    <cellStyle name="Normal 5 6 2 5 2 2 2" xfId="17088" xr:uid="{CBA4ABB4-FD7A-4586-AC68-9066563526FF}"/>
    <cellStyle name="Normal 5 6 2 5 2 3" xfId="12870" xr:uid="{F23FEB8C-DB86-43E8-936A-9E04F53980D2}"/>
    <cellStyle name="Normal 5 6 2 5 3" xfId="6493" xr:uid="{00000000-0005-0000-0000-0000AD1B0000}"/>
    <cellStyle name="Normal 5 6 2 5 3 2" xfId="14943" xr:uid="{5C333A3E-F598-45C5-B641-B10C2804DD9E}"/>
    <cellStyle name="Normal 5 6 2 5 4" xfId="10725" xr:uid="{C837AA1B-B621-4B9B-AAEF-31B5DE987320}"/>
    <cellStyle name="Normal 5 6 2 6" xfId="2623" xr:uid="{00000000-0005-0000-0000-0000AE1B0000}"/>
    <cellStyle name="Normal 5 6 2 6 2" xfId="6906" xr:uid="{00000000-0005-0000-0000-0000AF1B0000}"/>
    <cellStyle name="Normal 5 6 2 6 2 2" xfId="15356" xr:uid="{E477C68B-83FC-42AC-8423-225398CFCCE2}"/>
    <cellStyle name="Normal 5 6 2 6 3" xfId="11138" xr:uid="{5C4B742F-591F-460A-B033-B4E2708F295E}"/>
    <cellStyle name="Normal 5 6 2 7" xfId="4841" xr:uid="{00000000-0005-0000-0000-0000B01B0000}"/>
    <cellStyle name="Normal 5 6 2 7 2" xfId="13291" xr:uid="{3837B6CF-AA19-4C79-9C21-DEEC51BB0684}"/>
    <cellStyle name="Normal 5 6 2 8" xfId="9073" xr:uid="{45A38927-4F5B-4574-97F9-BEDB2411C3CA}"/>
    <cellStyle name="Normal 5 6 3" xfId="942" xr:uid="{00000000-0005-0000-0000-0000B11B0000}"/>
    <cellStyle name="Normal 5 6 3 2" xfId="3176" xr:uid="{00000000-0005-0000-0000-0000B21B0000}"/>
    <cellStyle name="Normal 5 6 3 2 2" xfId="7398" xr:uid="{00000000-0005-0000-0000-0000B31B0000}"/>
    <cellStyle name="Normal 5 6 3 2 2 2" xfId="15848" xr:uid="{6C7AAD8A-1585-4787-9FB7-1EEAB29297CA}"/>
    <cellStyle name="Normal 5 6 3 2 3" xfId="11630" xr:uid="{82B64A78-58F7-4531-B5E2-6FAA591A3717}"/>
    <cellStyle name="Normal 5 6 3 3" xfId="5253" xr:uid="{00000000-0005-0000-0000-0000B41B0000}"/>
    <cellStyle name="Normal 5 6 3 3 2" xfId="13703" xr:uid="{61FAEF93-BDA5-48E6-B2E5-E5ED4BE776B0}"/>
    <cellStyle name="Normal 5 6 3 4" xfId="9485" xr:uid="{2C4FB001-1ADB-4B00-9774-7A6B250DE9A9}"/>
    <cellStyle name="Normal 5 6 4" xfId="1359" xr:uid="{00000000-0005-0000-0000-0000B51B0000}"/>
    <cellStyle name="Normal 5 6 4 2" xfId="3589" xr:uid="{00000000-0005-0000-0000-0000B61B0000}"/>
    <cellStyle name="Normal 5 6 4 2 2" xfId="7811" xr:uid="{00000000-0005-0000-0000-0000B71B0000}"/>
    <cellStyle name="Normal 5 6 4 2 2 2" xfId="16261" xr:uid="{EA502389-72D1-4B77-B96A-50BE267ACE2A}"/>
    <cellStyle name="Normal 5 6 4 2 3" xfId="12043" xr:uid="{0040B002-B182-4012-A7B2-D0A4B83ED4B5}"/>
    <cellStyle name="Normal 5 6 4 3" xfId="5666" xr:uid="{00000000-0005-0000-0000-0000B81B0000}"/>
    <cellStyle name="Normal 5 6 4 3 2" xfId="14116" xr:uid="{AD8EA995-B1E9-4BC0-BCB1-6A1F2D9982EF}"/>
    <cellStyle name="Normal 5 6 4 4" xfId="9898" xr:uid="{61DA8BBE-1CE1-47C1-BCF2-14D385BAA777}"/>
    <cellStyle name="Normal 5 6 5" xfId="1772" xr:uid="{00000000-0005-0000-0000-0000B91B0000}"/>
    <cellStyle name="Normal 5 6 5 2" xfId="4002" xr:uid="{00000000-0005-0000-0000-0000BA1B0000}"/>
    <cellStyle name="Normal 5 6 5 2 2" xfId="8224" xr:uid="{00000000-0005-0000-0000-0000BB1B0000}"/>
    <cellStyle name="Normal 5 6 5 2 2 2" xfId="16674" xr:uid="{4DCBFAA3-1A1B-4E91-A35F-1CFD4114F616}"/>
    <cellStyle name="Normal 5 6 5 2 3" xfId="12456" xr:uid="{64223D3F-3210-4167-AC45-73B218CA0E9D}"/>
    <cellStyle name="Normal 5 6 5 3" xfId="6079" xr:uid="{00000000-0005-0000-0000-0000BC1B0000}"/>
    <cellStyle name="Normal 5 6 5 3 2" xfId="14529" xr:uid="{55AD233B-0350-418E-A4B5-346C454D6A6C}"/>
    <cellStyle name="Normal 5 6 5 4" xfId="10311" xr:uid="{7C4935D6-78F6-4CF7-BB08-69593FA42105}"/>
    <cellStyle name="Normal 5 6 6" xfId="2186" xr:uid="{00000000-0005-0000-0000-0000BD1B0000}"/>
    <cellStyle name="Normal 5 6 6 2" xfId="4415" xr:uid="{00000000-0005-0000-0000-0000BE1B0000}"/>
    <cellStyle name="Normal 5 6 6 2 2" xfId="8637" xr:uid="{00000000-0005-0000-0000-0000BF1B0000}"/>
    <cellStyle name="Normal 5 6 6 2 2 2" xfId="17087" xr:uid="{938A82C8-C08B-4ECB-9AE8-C02D1483F0FF}"/>
    <cellStyle name="Normal 5 6 6 2 3" xfId="12869" xr:uid="{9C7F5D22-BC29-4C74-9D60-55C300B3871A}"/>
    <cellStyle name="Normal 5 6 6 3" xfId="6492" xr:uid="{00000000-0005-0000-0000-0000C01B0000}"/>
    <cellStyle name="Normal 5 6 6 3 2" xfId="14942" xr:uid="{7DB6349E-31CF-4A88-8DE7-7531E8ED9B67}"/>
    <cellStyle name="Normal 5 6 6 4" xfId="10724" xr:uid="{BC13B656-19A9-46D8-B113-CBAF93510A95}"/>
    <cellStyle name="Normal 5 6 7" xfId="2622" xr:uid="{00000000-0005-0000-0000-0000C11B0000}"/>
    <cellStyle name="Normal 5 6 7 2" xfId="6905" xr:uid="{00000000-0005-0000-0000-0000C21B0000}"/>
    <cellStyle name="Normal 5 6 7 2 2" xfId="15355" xr:uid="{A2F4C5C1-92D5-4520-BB38-80758D5F0004}"/>
    <cellStyle name="Normal 5 6 7 3" xfId="11137" xr:uid="{9CB4549A-ECB7-469C-954E-57C2D01F6597}"/>
    <cellStyle name="Normal 5 6 8" xfId="4840" xr:uid="{00000000-0005-0000-0000-0000C31B0000}"/>
    <cellStyle name="Normal 5 6 8 2" xfId="13290" xr:uid="{F73F53BB-C53F-4B9F-BF2C-1A30F52D973A}"/>
    <cellStyle name="Normal 5 6 9" xfId="9072" xr:uid="{68B2F165-56CA-4EBB-AF2A-51D8294F8ED4}"/>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2 2 2" xfId="15850" xr:uid="{A57F7582-F1D2-4B03-9CED-C130DE16618A}"/>
    <cellStyle name="Normal 5 7 2 2 3" xfId="11632" xr:uid="{FA257C51-8F92-4B60-A76A-CE4EC12B8B6A}"/>
    <cellStyle name="Normal 5 7 2 3" xfId="5255" xr:uid="{00000000-0005-0000-0000-0000C81B0000}"/>
    <cellStyle name="Normal 5 7 2 3 2" xfId="13705" xr:uid="{89ABB548-455E-41C6-AD92-E17EE2A8B55A}"/>
    <cellStyle name="Normal 5 7 2 4" xfId="9487" xr:uid="{0B81E880-66CE-4189-9F75-2D28228D90F8}"/>
    <cellStyle name="Normal 5 7 3" xfId="1361" xr:uid="{00000000-0005-0000-0000-0000C91B0000}"/>
    <cellStyle name="Normal 5 7 3 2" xfId="3591" xr:uid="{00000000-0005-0000-0000-0000CA1B0000}"/>
    <cellStyle name="Normal 5 7 3 2 2" xfId="7813" xr:uid="{00000000-0005-0000-0000-0000CB1B0000}"/>
    <cellStyle name="Normal 5 7 3 2 2 2" xfId="16263" xr:uid="{C11DA828-EEF0-4D27-BD89-F695F7F63F25}"/>
    <cellStyle name="Normal 5 7 3 2 3" xfId="12045" xr:uid="{242C64F2-0BD6-4CDE-9A7C-62A37F99D8DC}"/>
    <cellStyle name="Normal 5 7 3 3" xfId="5668" xr:uid="{00000000-0005-0000-0000-0000CC1B0000}"/>
    <cellStyle name="Normal 5 7 3 3 2" xfId="14118" xr:uid="{5088287E-15A1-4939-8CA2-0E8B5CA12B09}"/>
    <cellStyle name="Normal 5 7 3 4" xfId="9900" xr:uid="{65DDFEA4-7A4B-41E1-9925-5392931F9926}"/>
    <cellStyle name="Normal 5 7 4" xfId="1774" xr:uid="{00000000-0005-0000-0000-0000CD1B0000}"/>
    <cellStyle name="Normal 5 7 4 2" xfId="4004" xr:uid="{00000000-0005-0000-0000-0000CE1B0000}"/>
    <cellStyle name="Normal 5 7 4 2 2" xfId="8226" xr:uid="{00000000-0005-0000-0000-0000CF1B0000}"/>
    <cellStyle name="Normal 5 7 4 2 2 2" xfId="16676" xr:uid="{229DE0B6-9799-4A37-B58F-52ECD59D70BC}"/>
    <cellStyle name="Normal 5 7 4 2 3" xfId="12458" xr:uid="{C3A002B3-1CEF-4394-8096-D17E80FCC06E}"/>
    <cellStyle name="Normal 5 7 4 3" xfId="6081" xr:uid="{00000000-0005-0000-0000-0000D01B0000}"/>
    <cellStyle name="Normal 5 7 4 3 2" xfId="14531" xr:uid="{26DAD441-9E4B-4888-9AD9-6180CD0D665F}"/>
    <cellStyle name="Normal 5 7 4 4" xfId="10313" xr:uid="{090DD570-24F4-43D9-8201-8619956E27EB}"/>
    <cellStyle name="Normal 5 7 5" xfId="2188" xr:uid="{00000000-0005-0000-0000-0000D11B0000}"/>
    <cellStyle name="Normal 5 7 5 2" xfId="4417" xr:uid="{00000000-0005-0000-0000-0000D21B0000}"/>
    <cellStyle name="Normal 5 7 5 2 2" xfId="8639" xr:uid="{00000000-0005-0000-0000-0000D31B0000}"/>
    <cellStyle name="Normal 5 7 5 2 2 2" xfId="17089" xr:uid="{FA4AD59D-5DD1-4CDD-877A-5098AD2CD203}"/>
    <cellStyle name="Normal 5 7 5 2 3" xfId="12871" xr:uid="{39703EEA-1CD8-4CDD-AE44-C47AB9069A3E}"/>
    <cellStyle name="Normal 5 7 5 3" xfId="6494" xr:uid="{00000000-0005-0000-0000-0000D41B0000}"/>
    <cellStyle name="Normal 5 7 5 3 2" xfId="14944" xr:uid="{56C8B966-10AF-48B2-9577-3A73AF7065AF}"/>
    <cellStyle name="Normal 5 7 5 4" xfId="10726" xr:uid="{21462C02-6382-42B6-B08D-3794B4FED559}"/>
    <cellStyle name="Normal 5 7 6" xfId="2624" xr:uid="{00000000-0005-0000-0000-0000D51B0000}"/>
    <cellStyle name="Normal 5 7 6 2" xfId="6907" xr:uid="{00000000-0005-0000-0000-0000D61B0000}"/>
    <cellStyle name="Normal 5 7 6 2 2" xfId="15357" xr:uid="{137F637D-CCC5-4E80-B854-AC6EAE8D5D39}"/>
    <cellStyle name="Normal 5 7 6 3" xfId="11139" xr:uid="{82A6C44C-37F8-4C20-9DA6-BFABA91C2F70}"/>
    <cellStyle name="Normal 5 7 7" xfId="4842" xr:uid="{00000000-0005-0000-0000-0000D71B0000}"/>
    <cellStyle name="Normal 5 7 7 2" xfId="13292" xr:uid="{5715C7F4-613B-4AAC-A9C0-B78CF32A4812}"/>
    <cellStyle name="Normal 5 7 8" xfId="9074" xr:uid="{9380D4DB-105E-4088-8FAD-199003D3BFE4}"/>
    <cellStyle name="Normal 5 8" xfId="880" xr:uid="{00000000-0005-0000-0000-0000D81B0000}"/>
    <cellStyle name="Normal 5 8 2" xfId="3115" xr:uid="{00000000-0005-0000-0000-0000D91B0000}"/>
    <cellStyle name="Normal 5 8 2 2" xfId="7337" xr:uid="{00000000-0005-0000-0000-0000DA1B0000}"/>
    <cellStyle name="Normal 5 8 2 2 2" xfId="15787" xr:uid="{01C51E5A-AED4-4C7D-B8F6-8E73AB6F782B}"/>
    <cellStyle name="Normal 5 8 2 3" xfId="11569" xr:uid="{F7D176BF-D8F9-4126-AAFA-AE92A8B86B00}"/>
    <cellStyle name="Normal 5 8 3" xfId="5192" xr:uid="{00000000-0005-0000-0000-0000DB1B0000}"/>
    <cellStyle name="Normal 5 8 3 2" xfId="13642" xr:uid="{2109BEB2-B24C-4905-8051-6E063DFAD48F}"/>
    <cellStyle name="Normal 5 8 4" xfId="9424" xr:uid="{FC805FC8-96E6-47A9-AB38-0D75A8E68337}"/>
    <cellStyle name="Normal 5 9" xfId="1298" xr:uid="{00000000-0005-0000-0000-0000DC1B0000}"/>
    <cellStyle name="Normal 5 9 2" xfId="3528" xr:uid="{00000000-0005-0000-0000-0000DD1B0000}"/>
    <cellStyle name="Normal 5 9 2 2" xfId="7750" xr:uid="{00000000-0005-0000-0000-0000DE1B0000}"/>
    <cellStyle name="Normal 5 9 2 2 2" xfId="16200" xr:uid="{B29CAD5F-719A-49E8-915D-0452ACEDEF70}"/>
    <cellStyle name="Normal 5 9 2 3" xfId="11982" xr:uid="{9B7F5F26-E0CF-442B-9896-17EED0983041}"/>
    <cellStyle name="Normal 5 9 3" xfId="5605" xr:uid="{00000000-0005-0000-0000-0000DF1B0000}"/>
    <cellStyle name="Normal 5 9 3 2" xfId="14055" xr:uid="{44443FB7-1921-4A7D-BD7E-C419BD7C4089}"/>
    <cellStyle name="Normal 5 9 4" xfId="9837" xr:uid="{767AC8F0-CB04-496D-B947-6523F070F6D4}"/>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2 2 2" xfId="17090" xr:uid="{C5B1E04B-8BB2-4A06-9CE2-4EB2D83E9707}"/>
    <cellStyle name="Normal 8 10 2 3" xfId="12872" xr:uid="{469F7526-C1C4-486E-A1AA-76919A47EB15}"/>
    <cellStyle name="Normal 8 10 3" xfId="6495" xr:uid="{00000000-0005-0000-0000-0000EB1B0000}"/>
    <cellStyle name="Normal 8 10 3 2" xfId="14945" xr:uid="{58BF7402-AA9A-4D47-B4F9-9ADD6C4A44B7}"/>
    <cellStyle name="Normal 8 10 4" xfId="10727" xr:uid="{78D62E7C-152F-47BC-813A-799F8A7D08C7}"/>
    <cellStyle name="Normal 8 11" xfId="2625" xr:uid="{00000000-0005-0000-0000-0000EC1B0000}"/>
    <cellStyle name="Normal 8 11 2" xfId="6908" xr:uid="{00000000-0005-0000-0000-0000ED1B0000}"/>
    <cellStyle name="Normal 8 11 2 2" xfId="15358" xr:uid="{03CAF7A0-5040-474F-BE9C-4E237BC25F3A}"/>
    <cellStyle name="Normal 8 11 3" xfId="11140" xr:uid="{2DE5C3FC-AF6F-4A6E-A45F-54798739E202}"/>
    <cellStyle name="Normal 8 12" xfId="4843" xr:uid="{00000000-0005-0000-0000-0000EE1B0000}"/>
    <cellStyle name="Normal 8 12 2" xfId="13293" xr:uid="{8F150D5F-47C5-4AB7-9F3C-6DD1458A9AE0}"/>
    <cellStyle name="Normal 8 13" xfId="9075" xr:uid="{7D61B8C7-B9D6-435D-9A22-A3874C41ECEF}"/>
    <cellStyle name="Normal 8 2" xfId="479" xr:uid="{00000000-0005-0000-0000-0000EF1B0000}"/>
    <cellStyle name="Normal 8 2 10" xfId="2626" xr:uid="{00000000-0005-0000-0000-0000F01B0000}"/>
    <cellStyle name="Normal 8 2 10 2" xfId="6909" xr:uid="{00000000-0005-0000-0000-0000F11B0000}"/>
    <cellStyle name="Normal 8 2 10 2 2" xfId="15359" xr:uid="{4445FADF-172E-4585-8B46-649B22A60A46}"/>
    <cellStyle name="Normal 8 2 10 3" xfId="11141" xr:uid="{116F8EB6-9D63-4AAA-85B9-9727CCACBE6E}"/>
    <cellStyle name="Normal 8 2 11" xfId="4844" xr:uid="{00000000-0005-0000-0000-0000F21B0000}"/>
    <cellStyle name="Normal 8 2 11 2" xfId="13294" xr:uid="{5E511366-C903-4A5F-9FBB-AEA587CDD976}"/>
    <cellStyle name="Normal 8 2 12" xfId="9076" xr:uid="{66E6FBC8-AF68-4747-93CC-BEFF0BE0C8D5}"/>
    <cellStyle name="Normal 8 2 2" xfId="480" xr:uid="{00000000-0005-0000-0000-0000F31B0000}"/>
    <cellStyle name="Normal 8 2 2 10" xfId="4845" xr:uid="{00000000-0005-0000-0000-0000F41B0000}"/>
    <cellStyle name="Normal 8 2 2 10 2" xfId="13295" xr:uid="{AE884429-2C86-4F9B-A2DA-117A09471628}"/>
    <cellStyle name="Normal 8 2 2 11" xfId="9077" xr:uid="{76F95CE7-5D1D-479E-96A4-2D76CB424C24}"/>
    <cellStyle name="Normal 8 2 2 2" xfId="481" xr:uid="{00000000-0005-0000-0000-0000F51B0000}"/>
    <cellStyle name="Normal 8 2 2 2 10" xfId="9078" xr:uid="{88A075B8-A79F-4628-A8EE-9AF5D354E4FC}"/>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2 2 2" xfId="15856" xr:uid="{8E71C418-BC93-439A-B789-E1096C28A7B3}"/>
    <cellStyle name="Normal 8 2 2 2 2 2 2 2 3" xfId="11638" xr:uid="{373F90D7-18F8-4CB5-8584-F0FDB7229E5A}"/>
    <cellStyle name="Normal 8 2 2 2 2 2 2 3" xfId="5261" xr:uid="{00000000-0005-0000-0000-0000FB1B0000}"/>
    <cellStyle name="Normal 8 2 2 2 2 2 2 3 2" xfId="13711" xr:uid="{2FFC6F7E-D6A4-4673-A4E3-DD755406AF6D}"/>
    <cellStyle name="Normal 8 2 2 2 2 2 2 4" xfId="9493" xr:uid="{898CB522-E182-43EE-9A6C-986B21BE0BDB}"/>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2 2 2" xfId="16269" xr:uid="{566236BC-73A1-41F4-A75E-832BFC2AD82F}"/>
    <cellStyle name="Normal 8 2 2 2 2 2 3 2 3" xfId="12051" xr:uid="{5597F3F1-E2EB-4DB4-BFB4-DD690A581D0F}"/>
    <cellStyle name="Normal 8 2 2 2 2 2 3 3" xfId="5674" xr:uid="{00000000-0005-0000-0000-0000FF1B0000}"/>
    <cellStyle name="Normal 8 2 2 2 2 2 3 3 2" xfId="14124" xr:uid="{7597728C-3223-45C2-9A44-50B48485B323}"/>
    <cellStyle name="Normal 8 2 2 2 2 2 3 4" xfId="9906" xr:uid="{1A336BFE-557F-48D1-868E-FB8F494E5E3D}"/>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2 2 2" xfId="16682" xr:uid="{DF81512E-AF66-4F7B-A7BB-57F1AAC599DF}"/>
    <cellStyle name="Normal 8 2 2 2 2 2 4 2 3" xfId="12464" xr:uid="{A6A866DA-7B23-4840-BD3D-25AA48FEB198}"/>
    <cellStyle name="Normal 8 2 2 2 2 2 4 3" xfId="6087" xr:uid="{00000000-0005-0000-0000-0000031C0000}"/>
    <cellStyle name="Normal 8 2 2 2 2 2 4 3 2" xfId="14537" xr:uid="{93661A5D-091D-4E36-832F-4C92DD29CBAF}"/>
    <cellStyle name="Normal 8 2 2 2 2 2 4 4" xfId="10319" xr:uid="{0DB8C852-3EF3-4443-8E5F-9E0953461469}"/>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2 2 2" xfId="17095" xr:uid="{067E0F10-7F0F-4237-AA00-10134DC4A9F9}"/>
    <cellStyle name="Normal 8 2 2 2 2 2 5 2 3" xfId="12877" xr:uid="{427CC6D1-80FB-4941-B5D7-22E370393ED8}"/>
    <cellStyle name="Normal 8 2 2 2 2 2 5 3" xfId="6500" xr:uid="{00000000-0005-0000-0000-0000071C0000}"/>
    <cellStyle name="Normal 8 2 2 2 2 2 5 3 2" xfId="14950" xr:uid="{E5350DA2-72AE-4162-9590-5BAA81C5D626}"/>
    <cellStyle name="Normal 8 2 2 2 2 2 5 4" xfId="10732" xr:uid="{F65A895F-1630-44DE-83A9-8B0536C5A1B5}"/>
    <cellStyle name="Normal 8 2 2 2 2 2 6" xfId="2630" xr:uid="{00000000-0005-0000-0000-0000081C0000}"/>
    <cellStyle name="Normal 8 2 2 2 2 2 6 2" xfId="6913" xr:uid="{00000000-0005-0000-0000-0000091C0000}"/>
    <cellStyle name="Normal 8 2 2 2 2 2 6 2 2" xfId="15363" xr:uid="{9E6ABBC4-3928-4B04-8613-4D06A67EA5F9}"/>
    <cellStyle name="Normal 8 2 2 2 2 2 6 3" xfId="11145" xr:uid="{6C6B2D8B-85BF-4E26-915F-988B5110CDDB}"/>
    <cellStyle name="Normal 8 2 2 2 2 2 7" xfId="4848" xr:uid="{00000000-0005-0000-0000-00000A1C0000}"/>
    <cellStyle name="Normal 8 2 2 2 2 2 7 2" xfId="13298" xr:uid="{8F0B9DC0-46FB-486B-8DE1-A5C524D38871}"/>
    <cellStyle name="Normal 8 2 2 2 2 2 8" xfId="9080" xr:uid="{CA6A2456-B1B1-4007-9014-15652F61FD57}"/>
    <cellStyle name="Normal 8 2 2 2 2 3" xfId="949" xr:uid="{00000000-0005-0000-0000-00000B1C0000}"/>
    <cellStyle name="Normal 8 2 2 2 2 3 2" xfId="3183" xr:uid="{00000000-0005-0000-0000-00000C1C0000}"/>
    <cellStyle name="Normal 8 2 2 2 2 3 2 2" xfId="7405" xr:uid="{00000000-0005-0000-0000-00000D1C0000}"/>
    <cellStyle name="Normal 8 2 2 2 2 3 2 2 2" xfId="15855" xr:uid="{ED91F123-EFB8-4961-8000-1E806FD5802F}"/>
    <cellStyle name="Normal 8 2 2 2 2 3 2 3" xfId="11637" xr:uid="{A6B8C88D-00CF-4791-9A0E-E91F62F40C5D}"/>
    <cellStyle name="Normal 8 2 2 2 2 3 3" xfId="5260" xr:uid="{00000000-0005-0000-0000-00000E1C0000}"/>
    <cellStyle name="Normal 8 2 2 2 2 3 3 2" xfId="13710" xr:uid="{7ED6E7A6-3FE0-417C-9F83-D516441AC2D9}"/>
    <cellStyle name="Normal 8 2 2 2 2 3 4" xfId="9492" xr:uid="{17768DEE-ADE6-44BC-9588-39EB94D1DB7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2 2 2" xfId="16268" xr:uid="{32F991FF-2245-4E01-83E6-6CD19394EADC}"/>
    <cellStyle name="Normal 8 2 2 2 2 4 2 3" xfId="12050" xr:uid="{58BC4942-E1DF-441D-A352-EEE452D21903}"/>
    <cellStyle name="Normal 8 2 2 2 2 4 3" xfId="5673" xr:uid="{00000000-0005-0000-0000-0000121C0000}"/>
    <cellStyle name="Normal 8 2 2 2 2 4 3 2" xfId="14123" xr:uid="{B00C2727-DC63-47FC-B628-2C02A8694C88}"/>
    <cellStyle name="Normal 8 2 2 2 2 4 4" xfId="9905" xr:uid="{D556FAAC-33B3-450F-A800-8B0BA4314928}"/>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2 2 2" xfId="16681" xr:uid="{8C83DF56-08A0-444E-B959-8DEDC5318012}"/>
    <cellStyle name="Normal 8 2 2 2 2 5 2 3" xfId="12463" xr:uid="{3EA9C546-72FD-4443-86C0-2C69290B0A7C}"/>
    <cellStyle name="Normal 8 2 2 2 2 5 3" xfId="6086" xr:uid="{00000000-0005-0000-0000-0000161C0000}"/>
    <cellStyle name="Normal 8 2 2 2 2 5 3 2" xfId="14536" xr:uid="{2C68981D-B1F1-4545-BDA0-AE6D596B5A35}"/>
    <cellStyle name="Normal 8 2 2 2 2 5 4" xfId="10318" xr:uid="{3705A87A-FF05-4C42-8A94-A6A76A91F16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2 2 2" xfId="17094" xr:uid="{D061B165-DDD8-49E7-8549-C9908B6BE9C4}"/>
    <cellStyle name="Normal 8 2 2 2 2 6 2 3" xfId="12876" xr:uid="{2DD1501E-4846-44A6-94CC-F824BC902123}"/>
    <cellStyle name="Normal 8 2 2 2 2 6 3" xfId="6499" xr:uid="{00000000-0005-0000-0000-00001A1C0000}"/>
    <cellStyle name="Normal 8 2 2 2 2 6 3 2" xfId="14949" xr:uid="{F3F2DF90-2F18-4B77-8667-9D3EE8702BA1}"/>
    <cellStyle name="Normal 8 2 2 2 2 6 4" xfId="10731" xr:uid="{5495BE28-75AC-4F26-8054-33C7440AC309}"/>
    <cellStyle name="Normal 8 2 2 2 2 7" xfId="2629" xr:uid="{00000000-0005-0000-0000-00001B1C0000}"/>
    <cellStyle name="Normal 8 2 2 2 2 7 2" xfId="6912" xr:uid="{00000000-0005-0000-0000-00001C1C0000}"/>
    <cellStyle name="Normal 8 2 2 2 2 7 2 2" xfId="15362" xr:uid="{851C4FF3-8B9D-4443-B520-4FC4E6BEE691}"/>
    <cellStyle name="Normal 8 2 2 2 2 7 3" xfId="11144" xr:uid="{DB709D9B-26DF-491B-9C71-6153460E215C}"/>
    <cellStyle name="Normal 8 2 2 2 2 8" xfId="4847" xr:uid="{00000000-0005-0000-0000-00001D1C0000}"/>
    <cellStyle name="Normal 8 2 2 2 2 8 2" xfId="13297" xr:uid="{56457162-A06A-4D1B-B0C1-E63C0C7AF52D}"/>
    <cellStyle name="Normal 8 2 2 2 2 9" xfId="9079" xr:uid="{C3BFB726-941F-44FC-924E-C76045BA389C}"/>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2 2 2" xfId="15857" xr:uid="{250DC912-8104-4678-B1A6-B6BA85D520C7}"/>
    <cellStyle name="Normal 8 2 2 2 3 2 2 3" xfId="11639" xr:uid="{7A981661-1514-4A53-B597-1E8B0495FFDD}"/>
    <cellStyle name="Normal 8 2 2 2 3 2 3" xfId="5262" xr:uid="{00000000-0005-0000-0000-0000221C0000}"/>
    <cellStyle name="Normal 8 2 2 2 3 2 3 2" xfId="13712" xr:uid="{0D187499-8552-4B38-BA59-7FC028DD0993}"/>
    <cellStyle name="Normal 8 2 2 2 3 2 4" xfId="9494" xr:uid="{61FB3F51-06B5-449A-8CEB-BB586B6757E3}"/>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2 2 2" xfId="16270" xr:uid="{6E1F900A-E3FE-4C8C-8FA0-B2B0F5246F35}"/>
    <cellStyle name="Normal 8 2 2 2 3 3 2 3" xfId="12052" xr:uid="{572EA6D0-F5D1-4FB2-A6E4-1BC9C65792B4}"/>
    <cellStyle name="Normal 8 2 2 2 3 3 3" xfId="5675" xr:uid="{00000000-0005-0000-0000-0000261C0000}"/>
    <cellStyle name="Normal 8 2 2 2 3 3 3 2" xfId="14125" xr:uid="{532E09F5-AE7D-4FC9-B8DB-626DD063D20C}"/>
    <cellStyle name="Normal 8 2 2 2 3 3 4" xfId="9907" xr:uid="{6B4A7D99-A3AE-4F9E-819F-925E1693F64A}"/>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2 2 2" xfId="16683" xr:uid="{AF1640AA-5E7C-44B6-A4D6-C6383BF95EED}"/>
    <cellStyle name="Normal 8 2 2 2 3 4 2 3" xfId="12465" xr:uid="{C2229666-199F-4B72-89ED-D0B048A829EE}"/>
    <cellStyle name="Normal 8 2 2 2 3 4 3" xfId="6088" xr:uid="{00000000-0005-0000-0000-00002A1C0000}"/>
    <cellStyle name="Normal 8 2 2 2 3 4 3 2" xfId="14538" xr:uid="{A72D85EF-394A-465C-BBB6-859BE533EBBF}"/>
    <cellStyle name="Normal 8 2 2 2 3 4 4" xfId="10320" xr:uid="{623AC7FF-AA23-4692-86CE-10FC044D32AC}"/>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2 2 2" xfId="17096" xr:uid="{1CFC49CF-EC60-4B5C-9B9D-C465C8F2B12F}"/>
    <cellStyle name="Normal 8 2 2 2 3 5 2 3" xfId="12878" xr:uid="{D0D8F49D-DE60-430E-B9C9-A8ACC9C185C0}"/>
    <cellStyle name="Normal 8 2 2 2 3 5 3" xfId="6501" xr:uid="{00000000-0005-0000-0000-00002E1C0000}"/>
    <cellStyle name="Normal 8 2 2 2 3 5 3 2" xfId="14951" xr:uid="{0A078765-4C4F-4ECA-8983-61244DDBC3CE}"/>
    <cellStyle name="Normal 8 2 2 2 3 5 4" xfId="10733" xr:uid="{C1441D65-0810-4F38-B7BD-97C3D1ACF5ED}"/>
    <cellStyle name="Normal 8 2 2 2 3 6" xfId="2631" xr:uid="{00000000-0005-0000-0000-00002F1C0000}"/>
    <cellStyle name="Normal 8 2 2 2 3 6 2" xfId="6914" xr:uid="{00000000-0005-0000-0000-0000301C0000}"/>
    <cellStyle name="Normal 8 2 2 2 3 6 2 2" xfId="15364" xr:uid="{7C80EDD3-2A1C-4EA5-ABEE-351699E8F5D7}"/>
    <cellStyle name="Normal 8 2 2 2 3 6 3" xfId="11146" xr:uid="{6A080EC9-19EF-4602-B8A2-99321D3791C7}"/>
    <cellStyle name="Normal 8 2 2 2 3 7" xfId="4849" xr:uid="{00000000-0005-0000-0000-0000311C0000}"/>
    <cellStyle name="Normal 8 2 2 2 3 7 2" xfId="13299" xr:uid="{7C1D3901-9CD0-4159-AF0D-B3EC928590AD}"/>
    <cellStyle name="Normal 8 2 2 2 3 8" xfId="9081" xr:uid="{B248DEB7-1E5B-41D9-9FB8-377738704C40}"/>
    <cellStyle name="Normal 8 2 2 2 4" xfId="948" xr:uid="{00000000-0005-0000-0000-0000321C0000}"/>
    <cellStyle name="Normal 8 2 2 2 4 2" xfId="3182" xr:uid="{00000000-0005-0000-0000-0000331C0000}"/>
    <cellStyle name="Normal 8 2 2 2 4 2 2" xfId="7404" xr:uid="{00000000-0005-0000-0000-0000341C0000}"/>
    <cellStyle name="Normal 8 2 2 2 4 2 2 2" xfId="15854" xr:uid="{A0B1ED7F-9653-4D65-B1B2-C761A46B4C6C}"/>
    <cellStyle name="Normal 8 2 2 2 4 2 3" xfId="11636" xr:uid="{EBE1A7F1-B1EE-42C0-95EC-DF013F894DBE}"/>
    <cellStyle name="Normal 8 2 2 2 4 3" xfId="5259" xr:uid="{00000000-0005-0000-0000-0000351C0000}"/>
    <cellStyle name="Normal 8 2 2 2 4 3 2" xfId="13709" xr:uid="{CE9BEF0A-3DA8-4059-B301-F32E51FD0C35}"/>
    <cellStyle name="Normal 8 2 2 2 4 4" xfId="9491" xr:uid="{D8C17537-4327-4DB0-B95D-F2891539D22C}"/>
    <cellStyle name="Normal 8 2 2 2 5" xfId="1365" xr:uid="{00000000-0005-0000-0000-0000361C0000}"/>
    <cellStyle name="Normal 8 2 2 2 5 2" xfId="3595" xr:uid="{00000000-0005-0000-0000-0000371C0000}"/>
    <cellStyle name="Normal 8 2 2 2 5 2 2" xfId="7817" xr:uid="{00000000-0005-0000-0000-0000381C0000}"/>
    <cellStyle name="Normal 8 2 2 2 5 2 2 2" xfId="16267" xr:uid="{66DEB6B5-011A-4FBD-B76A-7C590BE296A4}"/>
    <cellStyle name="Normal 8 2 2 2 5 2 3" xfId="12049" xr:uid="{0B58FF2F-9DD0-4A9D-90DC-8389CD951A17}"/>
    <cellStyle name="Normal 8 2 2 2 5 3" xfId="5672" xr:uid="{00000000-0005-0000-0000-0000391C0000}"/>
    <cellStyle name="Normal 8 2 2 2 5 3 2" xfId="14122" xr:uid="{18278F72-111E-4CA9-BE03-74184BFE2FCD}"/>
    <cellStyle name="Normal 8 2 2 2 5 4" xfId="9904" xr:uid="{0435BE97-F519-4F37-B588-D7E0D4AE4FEC}"/>
    <cellStyle name="Normal 8 2 2 2 6" xfId="1778" xr:uid="{00000000-0005-0000-0000-00003A1C0000}"/>
    <cellStyle name="Normal 8 2 2 2 6 2" xfId="4008" xr:uid="{00000000-0005-0000-0000-00003B1C0000}"/>
    <cellStyle name="Normal 8 2 2 2 6 2 2" xfId="8230" xr:uid="{00000000-0005-0000-0000-00003C1C0000}"/>
    <cellStyle name="Normal 8 2 2 2 6 2 2 2" xfId="16680" xr:uid="{94D1E4CE-6865-465A-9DB0-3453A41378DD}"/>
    <cellStyle name="Normal 8 2 2 2 6 2 3" xfId="12462" xr:uid="{A0062A95-8EF9-4866-9966-14AB24F86634}"/>
    <cellStyle name="Normal 8 2 2 2 6 3" xfId="6085" xr:uid="{00000000-0005-0000-0000-00003D1C0000}"/>
    <cellStyle name="Normal 8 2 2 2 6 3 2" xfId="14535" xr:uid="{6422D945-A82E-4C20-935E-D0DF90B20F40}"/>
    <cellStyle name="Normal 8 2 2 2 6 4" xfId="10317" xr:uid="{4CDA496B-3946-49BB-BB70-69E3414E9D59}"/>
    <cellStyle name="Normal 8 2 2 2 7" xfId="2192" xr:uid="{00000000-0005-0000-0000-00003E1C0000}"/>
    <cellStyle name="Normal 8 2 2 2 7 2" xfId="4421" xr:uid="{00000000-0005-0000-0000-00003F1C0000}"/>
    <cellStyle name="Normal 8 2 2 2 7 2 2" xfId="8643" xr:uid="{00000000-0005-0000-0000-0000401C0000}"/>
    <cellStyle name="Normal 8 2 2 2 7 2 2 2" xfId="17093" xr:uid="{F687C8B5-D7F2-44B9-A75E-63CD211E7F69}"/>
    <cellStyle name="Normal 8 2 2 2 7 2 3" xfId="12875" xr:uid="{0243D1BD-9FEE-41EB-AFDC-68F16C829E42}"/>
    <cellStyle name="Normal 8 2 2 2 7 3" xfId="6498" xr:uid="{00000000-0005-0000-0000-0000411C0000}"/>
    <cellStyle name="Normal 8 2 2 2 7 3 2" xfId="14948" xr:uid="{C59BABBA-E3D6-454C-8FB0-0BC9935C1751}"/>
    <cellStyle name="Normal 8 2 2 2 7 4" xfId="10730" xr:uid="{6AEECA1D-02EB-459C-9F92-BE0F5E2C7513}"/>
    <cellStyle name="Normal 8 2 2 2 8" xfId="2628" xr:uid="{00000000-0005-0000-0000-0000421C0000}"/>
    <cellStyle name="Normal 8 2 2 2 8 2" xfId="6911" xr:uid="{00000000-0005-0000-0000-0000431C0000}"/>
    <cellStyle name="Normal 8 2 2 2 8 2 2" xfId="15361" xr:uid="{3328E5AF-1A62-4EB0-A6D0-60DA80BE3C81}"/>
    <cellStyle name="Normal 8 2 2 2 8 3" xfId="11143" xr:uid="{65B9A3A1-9170-4A1D-BA72-18FCC7295BE6}"/>
    <cellStyle name="Normal 8 2 2 2 9" xfId="4846" xr:uid="{00000000-0005-0000-0000-0000441C0000}"/>
    <cellStyle name="Normal 8 2 2 2 9 2" xfId="13296" xr:uid="{0D37A4DB-4451-4E70-8C76-0B04B74A6FFF}"/>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2 2 2" xfId="15859" xr:uid="{78D507F5-A258-4A37-8059-1E88AD829A51}"/>
    <cellStyle name="Normal 8 2 2 3 2 2 2 3" xfId="11641" xr:uid="{38B789DE-695C-4FAD-8EBB-C0A6986456F6}"/>
    <cellStyle name="Normal 8 2 2 3 2 2 3" xfId="5264" xr:uid="{00000000-0005-0000-0000-00004A1C0000}"/>
    <cellStyle name="Normal 8 2 2 3 2 2 3 2" xfId="13714" xr:uid="{EFB5A73C-DF27-4784-A09A-D7828715BFD0}"/>
    <cellStyle name="Normal 8 2 2 3 2 2 4" xfId="9496" xr:uid="{B9A58FD4-E80C-46B2-86A5-F035E9FC5422}"/>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2 2 2" xfId="16272" xr:uid="{C57BBA68-A556-410F-B3F6-21DB7B8007F1}"/>
    <cellStyle name="Normal 8 2 2 3 2 3 2 3" xfId="12054" xr:uid="{27BDDCDE-CE53-4DA3-8504-525DF696E67E}"/>
    <cellStyle name="Normal 8 2 2 3 2 3 3" xfId="5677" xr:uid="{00000000-0005-0000-0000-00004E1C0000}"/>
    <cellStyle name="Normal 8 2 2 3 2 3 3 2" xfId="14127" xr:uid="{10FB09D7-A86E-4AE4-AE03-F911956CD421}"/>
    <cellStyle name="Normal 8 2 2 3 2 3 4" xfId="9909" xr:uid="{2D7CB538-4ECC-4B0B-880F-2EA73E801EBB}"/>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2 2 2" xfId="16685" xr:uid="{BDB8CE09-1BAC-4A40-A810-ECF8C9D45C53}"/>
    <cellStyle name="Normal 8 2 2 3 2 4 2 3" xfId="12467" xr:uid="{32A31067-E7AF-4D90-B7A2-07D5B9EB2A40}"/>
    <cellStyle name="Normal 8 2 2 3 2 4 3" xfId="6090" xr:uid="{00000000-0005-0000-0000-0000521C0000}"/>
    <cellStyle name="Normal 8 2 2 3 2 4 3 2" xfId="14540" xr:uid="{E20D6109-8BBB-4FF4-8C14-F67BBEF9F788}"/>
    <cellStyle name="Normal 8 2 2 3 2 4 4" xfId="10322" xr:uid="{9C119128-9D65-472D-8C86-104FD752108C}"/>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2 2 2" xfId="17098" xr:uid="{C89C4BC4-0FAF-447B-B7A7-86D37F597E12}"/>
    <cellStyle name="Normal 8 2 2 3 2 5 2 3" xfId="12880" xr:uid="{76EDD797-B618-4C5C-A32C-98210C165653}"/>
    <cellStyle name="Normal 8 2 2 3 2 5 3" xfId="6503" xr:uid="{00000000-0005-0000-0000-0000561C0000}"/>
    <cellStyle name="Normal 8 2 2 3 2 5 3 2" xfId="14953" xr:uid="{A149E5C9-9EC2-4D8F-914E-F0A121C2A9E3}"/>
    <cellStyle name="Normal 8 2 2 3 2 5 4" xfId="10735" xr:uid="{783CBD52-597D-441E-8F2A-B4AAFACBC50A}"/>
    <cellStyle name="Normal 8 2 2 3 2 6" xfId="2633" xr:uid="{00000000-0005-0000-0000-0000571C0000}"/>
    <cellStyle name="Normal 8 2 2 3 2 6 2" xfId="6916" xr:uid="{00000000-0005-0000-0000-0000581C0000}"/>
    <cellStyle name="Normal 8 2 2 3 2 6 2 2" xfId="15366" xr:uid="{63E8260C-54A6-4DA0-9AC9-FDCA513E7B78}"/>
    <cellStyle name="Normal 8 2 2 3 2 6 3" xfId="11148" xr:uid="{A4055238-DF0B-4601-8FFC-B09824871520}"/>
    <cellStyle name="Normal 8 2 2 3 2 7" xfId="4851" xr:uid="{00000000-0005-0000-0000-0000591C0000}"/>
    <cellStyle name="Normal 8 2 2 3 2 7 2" xfId="13301" xr:uid="{5A033F99-70B1-45C7-ADBD-94A2906B4C4C}"/>
    <cellStyle name="Normal 8 2 2 3 2 8" xfId="9083" xr:uid="{3BB37038-C049-4FA0-A2D4-8D4478B30565}"/>
    <cellStyle name="Normal 8 2 2 3 3" xfId="952" xr:uid="{00000000-0005-0000-0000-00005A1C0000}"/>
    <cellStyle name="Normal 8 2 2 3 3 2" xfId="3186" xr:uid="{00000000-0005-0000-0000-00005B1C0000}"/>
    <cellStyle name="Normal 8 2 2 3 3 2 2" xfId="7408" xr:uid="{00000000-0005-0000-0000-00005C1C0000}"/>
    <cellStyle name="Normal 8 2 2 3 3 2 2 2" xfId="15858" xr:uid="{BB78A7BC-CE87-4FC7-A258-67807062DD8B}"/>
    <cellStyle name="Normal 8 2 2 3 3 2 3" xfId="11640" xr:uid="{C750AF47-F0AB-406C-B96A-126A6A0BFA6C}"/>
    <cellStyle name="Normal 8 2 2 3 3 3" xfId="5263" xr:uid="{00000000-0005-0000-0000-00005D1C0000}"/>
    <cellStyle name="Normal 8 2 2 3 3 3 2" xfId="13713" xr:uid="{DA7266C8-7336-4346-9CCE-A40DEC7F2BB2}"/>
    <cellStyle name="Normal 8 2 2 3 3 4" xfId="9495" xr:uid="{3F0E170E-FEC8-47C1-BF62-D8FEF453A2C9}"/>
    <cellStyle name="Normal 8 2 2 3 4" xfId="1369" xr:uid="{00000000-0005-0000-0000-00005E1C0000}"/>
    <cellStyle name="Normal 8 2 2 3 4 2" xfId="3599" xr:uid="{00000000-0005-0000-0000-00005F1C0000}"/>
    <cellStyle name="Normal 8 2 2 3 4 2 2" xfId="7821" xr:uid="{00000000-0005-0000-0000-0000601C0000}"/>
    <cellStyle name="Normal 8 2 2 3 4 2 2 2" xfId="16271" xr:uid="{531DC405-F538-46E3-A325-DFE1680158A1}"/>
    <cellStyle name="Normal 8 2 2 3 4 2 3" xfId="12053" xr:uid="{F2E7BA65-FE6D-4C37-84AD-C5BF998A826F}"/>
    <cellStyle name="Normal 8 2 2 3 4 3" xfId="5676" xr:uid="{00000000-0005-0000-0000-0000611C0000}"/>
    <cellStyle name="Normal 8 2 2 3 4 3 2" xfId="14126" xr:uid="{4C3982B6-9011-4585-806E-B8D5A99655B8}"/>
    <cellStyle name="Normal 8 2 2 3 4 4" xfId="9908" xr:uid="{E1EC33C9-DC08-4B4F-A562-441C5F096836}"/>
    <cellStyle name="Normal 8 2 2 3 5" xfId="1782" xr:uid="{00000000-0005-0000-0000-0000621C0000}"/>
    <cellStyle name="Normal 8 2 2 3 5 2" xfId="4012" xr:uid="{00000000-0005-0000-0000-0000631C0000}"/>
    <cellStyle name="Normal 8 2 2 3 5 2 2" xfId="8234" xr:uid="{00000000-0005-0000-0000-0000641C0000}"/>
    <cellStyle name="Normal 8 2 2 3 5 2 2 2" xfId="16684" xr:uid="{BDB294CB-C7FD-4284-9860-FABCA2DEEEC3}"/>
    <cellStyle name="Normal 8 2 2 3 5 2 3" xfId="12466" xr:uid="{1DE7592D-718C-41CF-A54D-013995806554}"/>
    <cellStyle name="Normal 8 2 2 3 5 3" xfId="6089" xr:uid="{00000000-0005-0000-0000-0000651C0000}"/>
    <cellStyle name="Normal 8 2 2 3 5 3 2" xfId="14539" xr:uid="{1D6EAD9E-94CA-4F2B-932C-41E3F8E18315}"/>
    <cellStyle name="Normal 8 2 2 3 5 4" xfId="10321" xr:uid="{1707B062-52D0-40C9-A33C-89F409717D21}"/>
    <cellStyle name="Normal 8 2 2 3 6" xfId="2196" xr:uid="{00000000-0005-0000-0000-0000661C0000}"/>
    <cellStyle name="Normal 8 2 2 3 6 2" xfId="4425" xr:uid="{00000000-0005-0000-0000-0000671C0000}"/>
    <cellStyle name="Normal 8 2 2 3 6 2 2" xfId="8647" xr:uid="{00000000-0005-0000-0000-0000681C0000}"/>
    <cellStyle name="Normal 8 2 2 3 6 2 2 2" xfId="17097" xr:uid="{3C1D1BDF-AA28-4265-B13A-44E69C47E7A0}"/>
    <cellStyle name="Normal 8 2 2 3 6 2 3" xfId="12879" xr:uid="{1D259201-7233-4005-A2CC-35D611D1E7AA}"/>
    <cellStyle name="Normal 8 2 2 3 6 3" xfId="6502" xr:uid="{00000000-0005-0000-0000-0000691C0000}"/>
    <cellStyle name="Normal 8 2 2 3 6 3 2" xfId="14952" xr:uid="{604FD7AE-F279-441E-BE20-76DDD3076EA7}"/>
    <cellStyle name="Normal 8 2 2 3 6 4" xfId="10734" xr:uid="{902FD1C9-6223-4A1D-ABCE-A060BA5EBD40}"/>
    <cellStyle name="Normal 8 2 2 3 7" xfId="2632" xr:uid="{00000000-0005-0000-0000-00006A1C0000}"/>
    <cellStyle name="Normal 8 2 2 3 7 2" xfId="6915" xr:uid="{00000000-0005-0000-0000-00006B1C0000}"/>
    <cellStyle name="Normal 8 2 2 3 7 2 2" xfId="15365" xr:uid="{5640DA9C-5E40-4597-A8C1-220B6418F197}"/>
    <cellStyle name="Normal 8 2 2 3 7 3" xfId="11147" xr:uid="{3C3EE611-DA68-4FBF-8268-38C906CEB04D}"/>
    <cellStyle name="Normal 8 2 2 3 8" xfId="4850" xr:uid="{00000000-0005-0000-0000-00006C1C0000}"/>
    <cellStyle name="Normal 8 2 2 3 8 2" xfId="13300" xr:uid="{C3C1FDFC-D455-4568-88F9-1A5037004D52}"/>
    <cellStyle name="Normal 8 2 2 3 9" xfId="9082" xr:uid="{46757CA9-F23D-4882-BBFD-C99F94CFCA02}"/>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2 2 2" xfId="15860" xr:uid="{21D2894C-CFEE-4488-B78A-2D60F05DDA39}"/>
    <cellStyle name="Normal 8 2 2 4 2 2 3" xfId="11642" xr:uid="{AA780AD3-D468-4698-B1F5-8577EF2A2812}"/>
    <cellStyle name="Normal 8 2 2 4 2 3" xfId="5265" xr:uid="{00000000-0005-0000-0000-0000711C0000}"/>
    <cellStyle name="Normal 8 2 2 4 2 3 2" xfId="13715" xr:uid="{940E847F-0045-438E-997A-F8F1E5590486}"/>
    <cellStyle name="Normal 8 2 2 4 2 4" xfId="9497" xr:uid="{4CFD346E-9817-4881-8E08-617B7B532EDD}"/>
    <cellStyle name="Normal 8 2 2 4 3" xfId="1371" xr:uid="{00000000-0005-0000-0000-0000721C0000}"/>
    <cellStyle name="Normal 8 2 2 4 3 2" xfId="3601" xr:uid="{00000000-0005-0000-0000-0000731C0000}"/>
    <cellStyle name="Normal 8 2 2 4 3 2 2" xfId="7823" xr:uid="{00000000-0005-0000-0000-0000741C0000}"/>
    <cellStyle name="Normal 8 2 2 4 3 2 2 2" xfId="16273" xr:uid="{3C13E01F-E045-4104-98B7-8A5D38EF620B}"/>
    <cellStyle name="Normal 8 2 2 4 3 2 3" xfId="12055" xr:uid="{5ABFC35C-2197-49FF-8BF2-6555414DB8A0}"/>
    <cellStyle name="Normal 8 2 2 4 3 3" xfId="5678" xr:uid="{00000000-0005-0000-0000-0000751C0000}"/>
    <cellStyle name="Normal 8 2 2 4 3 3 2" xfId="14128" xr:uid="{93081998-BBD2-4592-AEAA-E4753CB10E04}"/>
    <cellStyle name="Normal 8 2 2 4 3 4" xfId="9910" xr:uid="{43CEF400-98E5-4EBE-97B4-992E76134A15}"/>
    <cellStyle name="Normal 8 2 2 4 4" xfId="1784" xr:uid="{00000000-0005-0000-0000-0000761C0000}"/>
    <cellStyle name="Normal 8 2 2 4 4 2" xfId="4014" xr:uid="{00000000-0005-0000-0000-0000771C0000}"/>
    <cellStyle name="Normal 8 2 2 4 4 2 2" xfId="8236" xr:uid="{00000000-0005-0000-0000-0000781C0000}"/>
    <cellStyle name="Normal 8 2 2 4 4 2 2 2" xfId="16686" xr:uid="{E1B14707-47C5-4B9D-8035-DA3807D923FD}"/>
    <cellStyle name="Normal 8 2 2 4 4 2 3" xfId="12468" xr:uid="{FF4E0ECE-2F3B-4711-8EDE-AB6CB62A6ED6}"/>
    <cellStyle name="Normal 8 2 2 4 4 3" xfId="6091" xr:uid="{00000000-0005-0000-0000-0000791C0000}"/>
    <cellStyle name="Normal 8 2 2 4 4 3 2" xfId="14541" xr:uid="{E80E8A67-07CB-48F7-9DB0-716A22801BC7}"/>
    <cellStyle name="Normal 8 2 2 4 4 4" xfId="10323" xr:uid="{5962F16B-0617-45F7-BF01-6FA7DE0F2433}"/>
    <cellStyle name="Normal 8 2 2 4 5" xfId="2198" xr:uid="{00000000-0005-0000-0000-00007A1C0000}"/>
    <cellStyle name="Normal 8 2 2 4 5 2" xfId="4427" xr:uid="{00000000-0005-0000-0000-00007B1C0000}"/>
    <cellStyle name="Normal 8 2 2 4 5 2 2" xfId="8649" xr:uid="{00000000-0005-0000-0000-00007C1C0000}"/>
    <cellStyle name="Normal 8 2 2 4 5 2 2 2" xfId="17099" xr:uid="{528841AB-6AAC-463F-8D7C-A5F7E1D46660}"/>
    <cellStyle name="Normal 8 2 2 4 5 2 3" xfId="12881" xr:uid="{0E2E22FD-84E1-4A9A-A563-2401BF9EC976}"/>
    <cellStyle name="Normal 8 2 2 4 5 3" xfId="6504" xr:uid="{00000000-0005-0000-0000-00007D1C0000}"/>
    <cellStyle name="Normal 8 2 2 4 5 3 2" xfId="14954" xr:uid="{3EC1C89C-BF14-46F5-A8C2-3BAB492FB54A}"/>
    <cellStyle name="Normal 8 2 2 4 5 4" xfId="10736" xr:uid="{4EFC25E0-1590-4942-A365-01DB5833A219}"/>
    <cellStyle name="Normal 8 2 2 4 6" xfId="2634" xr:uid="{00000000-0005-0000-0000-00007E1C0000}"/>
    <cellStyle name="Normal 8 2 2 4 6 2" xfId="6917" xr:uid="{00000000-0005-0000-0000-00007F1C0000}"/>
    <cellStyle name="Normal 8 2 2 4 6 2 2" xfId="15367" xr:uid="{590BDB8D-8290-46E3-A45F-4227CC696A29}"/>
    <cellStyle name="Normal 8 2 2 4 6 3" xfId="11149" xr:uid="{54D4D2F3-3776-470B-A4E7-3C4CBF73855E}"/>
    <cellStyle name="Normal 8 2 2 4 7" xfId="4852" xr:uid="{00000000-0005-0000-0000-0000801C0000}"/>
    <cellStyle name="Normal 8 2 2 4 7 2" xfId="13302" xr:uid="{74A66BD2-A87B-4379-830A-57013393A991}"/>
    <cellStyle name="Normal 8 2 2 4 8" xfId="9084" xr:uid="{4A0217C0-D781-4271-BFA5-B8074287705A}"/>
    <cellStyle name="Normal 8 2 2 5" xfId="947" xr:uid="{00000000-0005-0000-0000-0000811C0000}"/>
    <cellStyle name="Normal 8 2 2 5 2" xfId="3181" xr:uid="{00000000-0005-0000-0000-0000821C0000}"/>
    <cellStyle name="Normal 8 2 2 5 2 2" xfId="7403" xr:uid="{00000000-0005-0000-0000-0000831C0000}"/>
    <cellStyle name="Normal 8 2 2 5 2 2 2" xfId="15853" xr:uid="{172E2B06-874E-487F-9413-C26D11203C5A}"/>
    <cellStyle name="Normal 8 2 2 5 2 3" xfId="11635" xr:uid="{0E9F1D67-23C5-486A-AF30-222A1CA67227}"/>
    <cellStyle name="Normal 8 2 2 5 3" xfId="5258" xr:uid="{00000000-0005-0000-0000-0000841C0000}"/>
    <cellStyle name="Normal 8 2 2 5 3 2" xfId="13708" xr:uid="{B17827EE-02B0-4FC3-8E07-C4A6BB5B8011}"/>
    <cellStyle name="Normal 8 2 2 5 4" xfId="9490" xr:uid="{DC1E4EF5-CB20-4914-B624-FCE33A4D6F70}"/>
    <cellStyle name="Normal 8 2 2 6" xfId="1364" xr:uid="{00000000-0005-0000-0000-0000851C0000}"/>
    <cellStyle name="Normal 8 2 2 6 2" xfId="3594" xr:uid="{00000000-0005-0000-0000-0000861C0000}"/>
    <cellStyle name="Normal 8 2 2 6 2 2" xfId="7816" xr:uid="{00000000-0005-0000-0000-0000871C0000}"/>
    <cellStyle name="Normal 8 2 2 6 2 2 2" xfId="16266" xr:uid="{F6D0AC9F-5317-43B6-96F2-09B1E7F84057}"/>
    <cellStyle name="Normal 8 2 2 6 2 3" xfId="12048" xr:uid="{6EC775DB-A348-417E-A326-F2DADEB7A919}"/>
    <cellStyle name="Normal 8 2 2 6 3" xfId="5671" xr:uid="{00000000-0005-0000-0000-0000881C0000}"/>
    <cellStyle name="Normal 8 2 2 6 3 2" xfId="14121" xr:uid="{03082D31-E982-4B07-96E5-8F519278DAF1}"/>
    <cellStyle name="Normal 8 2 2 6 4" xfId="9903" xr:uid="{AA7EC93D-9994-4795-8B07-73A3D40A1ED0}"/>
    <cellStyle name="Normal 8 2 2 7" xfId="1777" xr:uid="{00000000-0005-0000-0000-0000891C0000}"/>
    <cellStyle name="Normal 8 2 2 7 2" xfId="4007" xr:uid="{00000000-0005-0000-0000-00008A1C0000}"/>
    <cellStyle name="Normal 8 2 2 7 2 2" xfId="8229" xr:uid="{00000000-0005-0000-0000-00008B1C0000}"/>
    <cellStyle name="Normal 8 2 2 7 2 2 2" xfId="16679" xr:uid="{902605EA-5106-498E-B8A7-1C5D7C1F9E93}"/>
    <cellStyle name="Normal 8 2 2 7 2 3" xfId="12461" xr:uid="{87E67464-C348-4A4B-BFFF-4B768F3B4525}"/>
    <cellStyle name="Normal 8 2 2 7 3" xfId="6084" xr:uid="{00000000-0005-0000-0000-00008C1C0000}"/>
    <cellStyle name="Normal 8 2 2 7 3 2" xfId="14534" xr:uid="{AF6D366D-2BD5-4871-9285-A4BD04DE38B0}"/>
    <cellStyle name="Normal 8 2 2 7 4" xfId="10316" xr:uid="{697952C3-1F4E-4EBC-94B3-AFF806DCDC49}"/>
    <cellStyle name="Normal 8 2 2 8" xfId="2191" xr:uid="{00000000-0005-0000-0000-00008D1C0000}"/>
    <cellStyle name="Normal 8 2 2 8 2" xfId="4420" xr:uid="{00000000-0005-0000-0000-00008E1C0000}"/>
    <cellStyle name="Normal 8 2 2 8 2 2" xfId="8642" xr:uid="{00000000-0005-0000-0000-00008F1C0000}"/>
    <cellStyle name="Normal 8 2 2 8 2 2 2" xfId="17092" xr:uid="{9566B150-F359-416C-B476-903E804BDB7D}"/>
    <cellStyle name="Normal 8 2 2 8 2 3" xfId="12874" xr:uid="{C875A433-6F67-4167-BA53-07FFCCA3D3DE}"/>
    <cellStyle name="Normal 8 2 2 8 3" xfId="6497" xr:uid="{00000000-0005-0000-0000-0000901C0000}"/>
    <cellStyle name="Normal 8 2 2 8 3 2" xfId="14947" xr:uid="{5BA8D8F1-840C-403A-A04E-BECA1356492C}"/>
    <cellStyle name="Normal 8 2 2 8 4" xfId="10729" xr:uid="{6FFE10D9-5AE3-41C6-9A40-A2445F3B8354}"/>
    <cellStyle name="Normal 8 2 2 9" xfId="2627" xr:uid="{00000000-0005-0000-0000-0000911C0000}"/>
    <cellStyle name="Normal 8 2 2 9 2" xfId="6910" xr:uid="{00000000-0005-0000-0000-0000921C0000}"/>
    <cellStyle name="Normal 8 2 2 9 2 2" xfId="15360" xr:uid="{B59128D6-6237-4AE0-AFA4-459F5DCC1AC0}"/>
    <cellStyle name="Normal 8 2 2 9 3" xfId="11142" xr:uid="{102EFA2B-37E8-45A2-AF2D-C2EC0A4E2C8E}"/>
    <cellStyle name="Normal 8 2 3" xfId="488" xr:uid="{00000000-0005-0000-0000-0000931C0000}"/>
    <cellStyle name="Normal 8 2 3 10" xfId="9085" xr:uid="{E1219957-0DCF-40A2-AE9F-0286CC78F402}"/>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2 2 2" xfId="15863" xr:uid="{7B6F5E63-8E56-466B-9213-63F01396EF2B}"/>
    <cellStyle name="Normal 8 2 3 2 2 2 2 3" xfId="11645" xr:uid="{62351C5F-C80D-4496-BBA1-58E08514E294}"/>
    <cellStyle name="Normal 8 2 3 2 2 2 3" xfId="5268" xr:uid="{00000000-0005-0000-0000-0000991C0000}"/>
    <cellStyle name="Normal 8 2 3 2 2 2 3 2" xfId="13718" xr:uid="{B7A7AECC-D43D-4C03-9C22-DB9A530D4861}"/>
    <cellStyle name="Normal 8 2 3 2 2 2 4" xfId="9500" xr:uid="{23C0D0A2-7762-4118-ADF9-3E830835C828}"/>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2 2 2" xfId="16276" xr:uid="{74958A4C-1CEA-477F-B723-1E5764586F13}"/>
    <cellStyle name="Normal 8 2 3 2 2 3 2 3" xfId="12058" xr:uid="{52A3FCB1-09B8-468B-83A6-472A90DCBFAC}"/>
    <cellStyle name="Normal 8 2 3 2 2 3 3" xfId="5681" xr:uid="{00000000-0005-0000-0000-00009D1C0000}"/>
    <cellStyle name="Normal 8 2 3 2 2 3 3 2" xfId="14131" xr:uid="{C5E87C3D-C517-4A4F-A8A8-175566431D2E}"/>
    <cellStyle name="Normal 8 2 3 2 2 3 4" xfId="9913" xr:uid="{FE5934D1-E1AA-47D7-AD07-C48F070FA6DB}"/>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2 2 2" xfId="16689" xr:uid="{A6A6414A-9EA4-489D-8068-E3B0E02FA7D9}"/>
    <cellStyle name="Normal 8 2 3 2 2 4 2 3" xfId="12471" xr:uid="{ED331BFE-E3BF-4DFD-BBA9-B72C13445FA5}"/>
    <cellStyle name="Normal 8 2 3 2 2 4 3" xfId="6094" xr:uid="{00000000-0005-0000-0000-0000A11C0000}"/>
    <cellStyle name="Normal 8 2 3 2 2 4 3 2" xfId="14544" xr:uid="{ADA6D8B0-6353-4CC9-91ED-4F6D8C87161E}"/>
    <cellStyle name="Normal 8 2 3 2 2 4 4" xfId="10326" xr:uid="{093B8F44-1097-42E9-BB72-F7B572AAF7BF}"/>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2 2 2" xfId="17102" xr:uid="{F5F8848D-FCC8-497C-9FFF-4A88FFCB2835}"/>
    <cellStyle name="Normal 8 2 3 2 2 5 2 3" xfId="12884" xr:uid="{D3048578-756E-4E72-8083-802085386B4F}"/>
    <cellStyle name="Normal 8 2 3 2 2 5 3" xfId="6507" xr:uid="{00000000-0005-0000-0000-0000A51C0000}"/>
    <cellStyle name="Normal 8 2 3 2 2 5 3 2" xfId="14957" xr:uid="{748A282D-89E0-4D92-9BE7-22ED99441A10}"/>
    <cellStyle name="Normal 8 2 3 2 2 5 4" xfId="10739" xr:uid="{A0D617AB-D9A3-4D67-81A6-9614AC64CC25}"/>
    <cellStyle name="Normal 8 2 3 2 2 6" xfId="2637" xr:uid="{00000000-0005-0000-0000-0000A61C0000}"/>
    <cellStyle name="Normal 8 2 3 2 2 6 2" xfId="6920" xr:uid="{00000000-0005-0000-0000-0000A71C0000}"/>
    <cellStyle name="Normal 8 2 3 2 2 6 2 2" xfId="15370" xr:uid="{860FF520-17CA-404D-9189-46AFFE310DBE}"/>
    <cellStyle name="Normal 8 2 3 2 2 6 3" xfId="11152" xr:uid="{3E605351-82B8-4F72-AD2E-244F1424025A}"/>
    <cellStyle name="Normal 8 2 3 2 2 7" xfId="4855" xr:uid="{00000000-0005-0000-0000-0000A81C0000}"/>
    <cellStyle name="Normal 8 2 3 2 2 7 2" xfId="13305" xr:uid="{F019D62F-B1FF-4429-B75C-0F1376593E14}"/>
    <cellStyle name="Normal 8 2 3 2 2 8" xfId="9087" xr:uid="{4E44328A-E962-4C82-8D72-74F949ACEDAB}"/>
    <cellStyle name="Normal 8 2 3 2 3" xfId="956" xr:uid="{00000000-0005-0000-0000-0000A91C0000}"/>
    <cellStyle name="Normal 8 2 3 2 3 2" xfId="3190" xr:uid="{00000000-0005-0000-0000-0000AA1C0000}"/>
    <cellStyle name="Normal 8 2 3 2 3 2 2" xfId="7412" xr:uid="{00000000-0005-0000-0000-0000AB1C0000}"/>
    <cellStyle name="Normal 8 2 3 2 3 2 2 2" xfId="15862" xr:uid="{6463D011-1BE7-494F-A647-800C228138BF}"/>
    <cellStyle name="Normal 8 2 3 2 3 2 3" xfId="11644" xr:uid="{8C14A5B0-F075-4A6F-9A7A-B87D544A417A}"/>
    <cellStyle name="Normal 8 2 3 2 3 3" xfId="5267" xr:uid="{00000000-0005-0000-0000-0000AC1C0000}"/>
    <cellStyle name="Normal 8 2 3 2 3 3 2" xfId="13717" xr:uid="{CD262E4F-C738-470E-B122-216183CDB7F8}"/>
    <cellStyle name="Normal 8 2 3 2 3 4" xfId="9499" xr:uid="{412CC283-5C0B-42A2-81C9-2D70BFE89A55}"/>
    <cellStyle name="Normal 8 2 3 2 4" xfId="1373" xr:uid="{00000000-0005-0000-0000-0000AD1C0000}"/>
    <cellStyle name="Normal 8 2 3 2 4 2" xfId="3603" xr:uid="{00000000-0005-0000-0000-0000AE1C0000}"/>
    <cellStyle name="Normal 8 2 3 2 4 2 2" xfId="7825" xr:uid="{00000000-0005-0000-0000-0000AF1C0000}"/>
    <cellStyle name="Normal 8 2 3 2 4 2 2 2" xfId="16275" xr:uid="{A593ED03-1934-41B6-8622-04D722F77755}"/>
    <cellStyle name="Normal 8 2 3 2 4 2 3" xfId="12057" xr:uid="{96F054D9-3BEA-4B90-8CDB-F24AE741B7AC}"/>
    <cellStyle name="Normal 8 2 3 2 4 3" xfId="5680" xr:uid="{00000000-0005-0000-0000-0000B01C0000}"/>
    <cellStyle name="Normal 8 2 3 2 4 3 2" xfId="14130" xr:uid="{9D9B6869-93C0-40CE-A077-BE6A15650ABC}"/>
    <cellStyle name="Normal 8 2 3 2 4 4" xfId="9912" xr:uid="{F77E2DEB-C5CC-483D-A366-B907579C1858}"/>
    <cellStyle name="Normal 8 2 3 2 5" xfId="1786" xr:uid="{00000000-0005-0000-0000-0000B11C0000}"/>
    <cellStyle name="Normal 8 2 3 2 5 2" xfId="4016" xr:uid="{00000000-0005-0000-0000-0000B21C0000}"/>
    <cellStyle name="Normal 8 2 3 2 5 2 2" xfId="8238" xr:uid="{00000000-0005-0000-0000-0000B31C0000}"/>
    <cellStyle name="Normal 8 2 3 2 5 2 2 2" xfId="16688" xr:uid="{CF9B0C8A-18CC-4D01-BD18-1FD0C65C1720}"/>
    <cellStyle name="Normal 8 2 3 2 5 2 3" xfId="12470" xr:uid="{6EFBCFD6-69E3-4C3E-8DD9-8D6F11305B2E}"/>
    <cellStyle name="Normal 8 2 3 2 5 3" xfId="6093" xr:uid="{00000000-0005-0000-0000-0000B41C0000}"/>
    <cellStyle name="Normal 8 2 3 2 5 3 2" xfId="14543" xr:uid="{F3D8E4DE-3564-4686-BF1B-648D09CB5D1C}"/>
    <cellStyle name="Normal 8 2 3 2 5 4" xfId="10325" xr:uid="{8C735404-E2E8-4ACF-87F5-6A0E57B4ADA3}"/>
    <cellStyle name="Normal 8 2 3 2 6" xfId="2200" xr:uid="{00000000-0005-0000-0000-0000B51C0000}"/>
    <cellStyle name="Normal 8 2 3 2 6 2" xfId="4429" xr:uid="{00000000-0005-0000-0000-0000B61C0000}"/>
    <cellStyle name="Normal 8 2 3 2 6 2 2" xfId="8651" xr:uid="{00000000-0005-0000-0000-0000B71C0000}"/>
    <cellStyle name="Normal 8 2 3 2 6 2 2 2" xfId="17101" xr:uid="{02A8262E-5636-44B7-8765-32499EE78622}"/>
    <cellStyle name="Normal 8 2 3 2 6 2 3" xfId="12883" xr:uid="{AFB0F6EB-9C3A-4CE8-987A-1F56CDCAAA4E}"/>
    <cellStyle name="Normal 8 2 3 2 6 3" xfId="6506" xr:uid="{00000000-0005-0000-0000-0000B81C0000}"/>
    <cellStyle name="Normal 8 2 3 2 6 3 2" xfId="14956" xr:uid="{A38892F2-49AA-45B0-9D9B-90B2A19BE1EA}"/>
    <cellStyle name="Normal 8 2 3 2 6 4" xfId="10738" xr:uid="{19DA4917-1BBA-4BA3-BDBC-370917A7D672}"/>
    <cellStyle name="Normal 8 2 3 2 7" xfId="2636" xr:uid="{00000000-0005-0000-0000-0000B91C0000}"/>
    <cellStyle name="Normal 8 2 3 2 7 2" xfId="6919" xr:uid="{00000000-0005-0000-0000-0000BA1C0000}"/>
    <cellStyle name="Normal 8 2 3 2 7 2 2" xfId="15369" xr:uid="{AC6092D7-718F-4346-893F-FEC477944F9A}"/>
    <cellStyle name="Normal 8 2 3 2 7 3" xfId="11151" xr:uid="{3271D465-5A90-4304-AC8C-17FF071671B6}"/>
    <cellStyle name="Normal 8 2 3 2 8" xfId="4854" xr:uid="{00000000-0005-0000-0000-0000BB1C0000}"/>
    <cellStyle name="Normal 8 2 3 2 8 2" xfId="13304" xr:uid="{5F4A5651-DB5C-4F25-B33F-5755211369AF}"/>
    <cellStyle name="Normal 8 2 3 2 9" xfId="9086" xr:uid="{06873DE0-4945-420A-804C-DA586E5C4114}"/>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2 2 2" xfId="15864" xr:uid="{2EFA5AFE-5E2F-4F7F-9450-5F3BC1C8D67F}"/>
    <cellStyle name="Normal 8 2 3 3 2 2 3" xfId="11646" xr:uid="{128BE967-BD42-4F01-A5EF-0D389B30146E}"/>
    <cellStyle name="Normal 8 2 3 3 2 3" xfId="5269" xr:uid="{00000000-0005-0000-0000-0000C01C0000}"/>
    <cellStyle name="Normal 8 2 3 3 2 3 2" xfId="13719" xr:uid="{57CFFE91-C86B-4670-BC5F-0B66B6876FDC}"/>
    <cellStyle name="Normal 8 2 3 3 2 4" xfId="9501" xr:uid="{A5875A18-E862-4B71-BF50-511F97919467}"/>
    <cellStyle name="Normal 8 2 3 3 3" xfId="1375" xr:uid="{00000000-0005-0000-0000-0000C11C0000}"/>
    <cellStyle name="Normal 8 2 3 3 3 2" xfId="3605" xr:uid="{00000000-0005-0000-0000-0000C21C0000}"/>
    <cellStyle name="Normal 8 2 3 3 3 2 2" xfId="7827" xr:uid="{00000000-0005-0000-0000-0000C31C0000}"/>
    <cellStyle name="Normal 8 2 3 3 3 2 2 2" xfId="16277" xr:uid="{5269F6A8-B009-4047-85DF-C97C0D8247BB}"/>
    <cellStyle name="Normal 8 2 3 3 3 2 3" xfId="12059" xr:uid="{DD21F247-C453-4C90-9B8D-0671ACAD5809}"/>
    <cellStyle name="Normal 8 2 3 3 3 3" xfId="5682" xr:uid="{00000000-0005-0000-0000-0000C41C0000}"/>
    <cellStyle name="Normal 8 2 3 3 3 3 2" xfId="14132" xr:uid="{ED0F60B9-2EEA-48DE-8A85-6A4ECFF36DD4}"/>
    <cellStyle name="Normal 8 2 3 3 3 4" xfId="9914" xr:uid="{374911DF-4272-42B7-AE0B-0600C6B1308B}"/>
    <cellStyle name="Normal 8 2 3 3 4" xfId="1788" xr:uid="{00000000-0005-0000-0000-0000C51C0000}"/>
    <cellStyle name="Normal 8 2 3 3 4 2" xfId="4018" xr:uid="{00000000-0005-0000-0000-0000C61C0000}"/>
    <cellStyle name="Normal 8 2 3 3 4 2 2" xfId="8240" xr:uid="{00000000-0005-0000-0000-0000C71C0000}"/>
    <cellStyle name="Normal 8 2 3 3 4 2 2 2" xfId="16690" xr:uid="{1A07B9BE-AF88-4F28-9F5E-B96DC8104E1A}"/>
    <cellStyle name="Normal 8 2 3 3 4 2 3" xfId="12472" xr:uid="{F06521E8-465A-440E-9B26-F27162A11AE8}"/>
    <cellStyle name="Normal 8 2 3 3 4 3" xfId="6095" xr:uid="{00000000-0005-0000-0000-0000C81C0000}"/>
    <cellStyle name="Normal 8 2 3 3 4 3 2" xfId="14545" xr:uid="{E979E57B-026F-42A5-A4A5-48E6CB007F2C}"/>
    <cellStyle name="Normal 8 2 3 3 4 4" xfId="10327" xr:uid="{C65CFD96-C648-4E07-94DF-8392CC743874}"/>
    <cellStyle name="Normal 8 2 3 3 5" xfId="2202" xr:uid="{00000000-0005-0000-0000-0000C91C0000}"/>
    <cellStyle name="Normal 8 2 3 3 5 2" xfId="4431" xr:uid="{00000000-0005-0000-0000-0000CA1C0000}"/>
    <cellStyle name="Normal 8 2 3 3 5 2 2" xfId="8653" xr:uid="{00000000-0005-0000-0000-0000CB1C0000}"/>
    <cellStyle name="Normal 8 2 3 3 5 2 2 2" xfId="17103" xr:uid="{1D5C778F-5B11-483F-B424-6538F4A76A7D}"/>
    <cellStyle name="Normal 8 2 3 3 5 2 3" xfId="12885" xr:uid="{C88BF53F-74C5-4A69-9FD4-5DF5F864D80C}"/>
    <cellStyle name="Normal 8 2 3 3 5 3" xfId="6508" xr:uid="{00000000-0005-0000-0000-0000CC1C0000}"/>
    <cellStyle name="Normal 8 2 3 3 5 3 2" xfId="14958" xr:uid="{C3793B58-A73C-4B30-A9B6-52E71742A55F}"/>
    <cellStyle name="Normal 8 2 3 3 5 4" xfId="10740" xr:uid="{A3F856EF-54EF-4C5D-A05B-53B6801E2D8C}"/>
    <cellStyle name="Normal 8 2 3 3 6" xfId="2638" xr:uid="{00000000-0005-0000-0000-0000CD1C0000}"/>
    <cellStyle name="Normal 8 2 3 3 6 2" xfId="6921" xr:uid="{00000000-0005-0000-0000-0000CE1C0000}"/>
    <cellStyle name="Normal 8 2 3 3 6 2 2" xfId="15371" xr:uid="{255F2048-573F-4191-A50A-197783756B06}"/>
    <cellStyle name="Normal 8 2 3 3 6 3" xfId="11153" xr:uid="{D74E801D-8AE5-4270-88F8-B266A8F021BE}"/>
    <cellStyle name="Normal 8 2 3 3 7" xfId="4856" xr:uid="{00000000-0005-0000-0000-0000CF1C0000}"/>
    <cellStyle name="Normal 8 2 3 3 7 2" xfId="13306" xr:uid="{CBFB8FF0-B9D8-4FAF-AB81-C233C9E59A01}"/>
    <cellStyle name="Normal 8 2 3 3 8" xfId="9088" xr:uid="{FA831512-85A4-4575-8C43-5FC5D1861666}"/>
    <cellStyle name="Normal 8 2 3 4" xfId="955" xr:uid="{00000000-0005-0000-0000-0000D01C0000}"/>
    <cellStyle name="Normal 8 2 3 4 2" xfId="3189" xr:uid="{00000000-0005-0000-0000-0000D11C0000}"/>
    <cellStyle name="Normal 8 2 3 4 2 2" xfId="7411" xr:uid="{00000000-0005-0000-0000-0000D21C0000}"/>
    <cellStyle name="Normal 8 2 3 4 2 2 2" xfId="15861" xr:uid="{CC006281-EB15-4D33-8ACB-157CE1A90713}"/>
    <cellStyle name="Normal 8 2 3 4 2 3" xfId="11643" xr:uid="{B4E6AC10-0B23-4078-B1F3-5C2888739A76}"/>
    <cellStyle name="Normal 8 2 3 4 3" xfId="5266" xr:uid="{00000000-0005-0000-0000-0000D31C0000}"/>
    <cellStyle name="Normal 8 2 3 4 3 2" xfId="13716" xr:uid="{22A7F41B-1E80-408B-999D-C3DE3513853B}"/>
    <cellStyle name="Normal 8 2 3 4 4" xfId="9498" xr:uid="{943735A8-BDA2-4D0C-B2AF-A0E849656520}"/>
    <cellStyle name="Normal 8 2 3 5" xfId="1372" xr:uid="{00000000-0005-0000-0000-0000D41C0000}"/>
    <cellStyle name="Normal 8 2 3 5 2" xfId="3602" xr:uid="{00000000-0005-0000-0000-0000D51C0000}"/>
    <cellStyle name="Normal 8 2 3 5 2 2" xfId="7824" xr:uid="{00000000-0005-0000-0000-0000D61C0000}"/>
    <cellStyle name="Normal 8 2 3 5 2 2 2" xfId="16274" xr:uid="{4560DFE7-C5E1-4E60-9E72-F6185FA727FD}"/>
    <cellStyle name="Normal 8 2 3 5 2 3" xfId="12056" xr:uid="{25EAE987-7EF4-49FB-B07E-159EB3CD7176}"/>
    <cellStyle name="Normal 8 2 3 5 3" xfId="5679" xr:uid="{00000000-0005-0000-0000-0000D71C0000}"/>
    <cellStyle name="Normal 8 2 3 5 3 2" xfId="14129" xr:uid="{CB1DB1F1-ABE1-4051-9372-9AF04B1DA7DB}"/>
    <cellStyle name="Normal 8 2 3 5 4" xfId="9911" xr:uid="{B625B71C-CAD2-4FD8-A367-3AC28E2278A3}"/>
    <cellStyle name="Normal 8 2 3 6" xfId="1785" xr:uid="{00000000-0005-0000-0000-0000D81C0000}"/>
    <cellStyle name="Normal 8 2 3 6 2" xfId="4015" xr:uid="{00000000-0005-0000-0000-0000D91C0000}"/>
    <cellStyle name="Normal 8 2 3 6 2 2" xfId="8237" xr:uid="{00000000-0005-0000-0000-0000DA1C0000}"/>
    <cellStyle name="Normal 8 2 3 6 2 2 2" xfId="16687" xr:uid="{1A43FB3B-9CEA-4E75-B30E-5517A6960D7A}"/>
    <cellStyle name="Normal 8 2 3 6 2 3" xfId="12469" xr:uid="{ECBA8709-A90A-4082-96C4-89E7143C8F77}"/>
    <cellStyle name="Normal 8 2 3 6 3" xfId="6092" xr:uid="{00000000-0005-0000-0000-0000DB1C0000}"/>
    <cellStyle name="Normal 8 2 3 6 3 2" xfId="14542" xr:uid="{7D792F0E-C7DA-4794-A0F4-EFA42056E86A}"/>
    <cellStyle name="Normal 8 2 3 6 4" xfId="10324" xr:uid="{05C678D4-230B-4CCA-B139-6C5D7F63890A}"/>
    <cellStyle name="Normal 8 2 3 7" xfId="2199" xr:uid="{00000000-0005-0000-0000-0000DC1C0000}"/>
    <cellStyle name="Normal 8 2 3 7 2" xfId="4428" xr:uid="{00000000-0005-0000-0000-0000DD1C0000}"/>
    <cellStyle name="Normal 8 2 3 7 2 2" xfId="8650" xr:uid="{00000000-0005-0000-0000-0000DE1C0000}"/>
    <cellStyle name="Normal 8 2 3 7 2 2 2" xfId="17100" xr:uid="{164EBE99-B431-45F0-8AD1-5E496A4F871F}"/>
    <cellStyle name="Normal 8 2 3 7 2 3" xfId="12882" xr:uid="{953CF720-4933-46A6-95A0-3D955D47E9BB}"/>
    <cellStyle name="Normal 8 2 3 7 3" xfId="6505" xr:uid="{00000000-0005-0000-0000-0000DF1C0000}"/>
    <cellStyle name="Normal 8 2 3 7 3 2" xfId="14955" xr:uid="{837B410D-1C3B-4930-A96B-143C43CA914D}"/>
    <cellStyle name="Normal 8 2 3 7 4" xfId="10737" xr:uid="{9981AC64-D5EE-4B32-80CD-131BA90A050B}"/>
    <cellStyle name="Normal 8 2 3 8" xfId="2635" xr:uid="{00000000-0005-0000-0000-0000E01C0000}"/>
    <cellStyle name="Normal 8 2 3 8 2" xfId="6918" xr:uid="{00000000-0005-0000-0000-0000E11C0000}"/>
    <cellStyle name="Normal 8 2 3 8 2 2" xfId="15368" xr:uid="{88DFE143-4DB9-4A78-B3D0-DA976514287F}"/>
    <cellStyle name="Normal 8 2 3 8 3" xfId="11150" xr:uid="{69CBFBBA-7F97-48C6-8E20-1BB844C5FAD0}"/>
    <cellStyle name="Normal 8 2 3 9" xfId="4853" xr:uid="{00000000-0005-0000-0000-0000E21C0000}"/>
    <cellStyle name="Normal 8 2 3 9 2" xfId="13303" xr:uid="{FDE62C17-9B72-4B86-872F-D88A5D06E682}"/>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2 2 2" xfId="15866" xr:uid="{02177D78-7E22-4B5C-BEC1-5A6D4556B043}"/>
    <cellStyle name="Normal 8 2 4 2 2 2 3" xfId="11648" xr:uid="{40EEADAD-58C3-4B3B-88A5-812C6B0FE348}"/>
    <cellStyle name="Normal 8 2 4 2 2 3" xfId="5271" xr:uid="{00000000-0005-0000-0000-0000E81C0000}"/>
    <cellStyle name="Normal 8 2 4 2 2 3 2" xfId="13721" xr:uid="{872B662A-BC44-4835-9408-FB44B3D031C5}"/>
    <cellStyle name="Normal 8 2 4 2 2 4" xfId="9503" xr:uid="{336936DA-95D4-41C3-A093-4F4F9B824B5D}"/>
    <cellStyle name="Normal 8 2 4 2 3" xfId="1377" xr:uid="{00000000-0005-0000-0000-0000E91C0000}"/>
    <cellStyle name="Normal 8 2 4 2 3 2" xfId="3607" xr:uid="{00000000-0005-0000-0000-0000EA1C0000}"/>
    <cellStyle name="Normal 8 2 4 2 3 2 2" xfId="7829" xr:uid="{00000000-0005-0000-0000-0000EB1C0000}"/>
    <cellStyle name="Normal 8 2 4 2 3 2 2 2" xfId="16279" xr:uid="{60A2B59F-4B85-4FE1-833A-8DD9B155D206}"/>
    <cellStyle name="Normal 8 2 4 2 3 2 3" xfId="12061" xr:uid="{12CD1AD3-10B7-4571-B025-3D626E3F9A29}"/>
    <cellStyle name="Normal 8 2 4 2 3 3" xfId="5684" xr:uid="{00000000-0005-0000-0000-0000EC1C0000}"/>
    <cellStyle name="Normal 8 2 4 2 3 3 2" xfId="14134" xr:uid="{0BA52DBF-8BF6-40FF-84ED-DBBA876B5040}"/>
    <cellStyle name="Normal 8 2 4 2 3 4" xfId="9916" xr:uid="{21F057FF-5BEC-4E96-B337-A19A75D46FC1}"/>
    <cellStyle name="Normal 8 2 4 2 4" xfId="1790" xr:uid="{00000000-0005-0000-0000-0000ED1C0000}"/>
    <cellStyle name="Normal 8 2 4 2 4 2" xfId="4020" xr:uid="{00000000-0005-0000-0000-0000EE1C0000}"/>
    <cellStyle name="Normal 8 2 4 2 4 2 2" xfId="8242" xr:uid="{00000000-0005-0000-0000-0000EF1C0000}"/>
    <cellStyle name="Normal 8 2 4 2 4 2 2 2" xfId="16692" xr:uid="{BDB78E0F-5ABB-40C1-9CFA-39B5EDCC36F0}"/>
    <cellStyle name="Normal 8 2 4 2 4 2 3" xfId="12474" xr:uid="{AB959023-83E2-416F-B625-30A199551713}"/>
    <cellStyle name="Normal 8 2 4 2 4 3" xfId="6097" xr:uid="{00000000-0005-0000-0000-0000F01C0000}"/>
    <cellStyle name="Normal 8 2 4 2 4 3 2" xfId="14547" xr:uid="{CA5CCEE0-64B7-48C8-B728-2A60699081E7}"/>
    <cellStyle name="Normal 8 2 4 2 4 4" xfId="10329" xr:uid="{E1D97702-C762-4986-BD18-D0CED9677655}"/>
    <cellStyle name="Normal 8 2 4 2 5" xfId="2204" xr:uid="{00000000-0005-0000-0000-0000F11C0000}"/>
    <cellStyle name="Normal 8 2 4 2 5 2" xfId="4433" xr:uid="{00000000-0005-0000-0000-0000F21C0000}"/>
    <cellStyle name="Normal 8 2 4 2 5 2 2" xfId="8655" xr:uid="{00000000-0005-0000-0000-0000F31C0000}"/>
    <cellStyle name="Normal 8 2 4 2 5 2 2 2" xfId="17105" xr:uid="{065884DA-B899-4651-ADCE-22D3627A081A}"/>
    <cellStyle name="Normal 8 2 4 2 5 2 3" xfId="12887" xr:uid="{0C42076C-15A7-48A9-A088-A9225FED7AD4}"/>
    <cellStyle name="Normal 8 2 4 2 5 3" xfId="6510" xr:uid="{00000000-0005-0000-0000-0000F41C0000}"/>
    <cellStyle name="Normal 8 2 4 2 5 3 2" xfId="14960" xr:uid="{4BFE8DC1-6C16-4069-9C27-237C3EA2F4E9}"/>
    <cellStyle name="Normal 8 2 4 2 5 4" xfId="10742" xr:uid="{000E6083-8641-4C38-9B2D-8BA09EDF8C08}"/>
    <cellStyle name="Normal 8 2 4 2 6" xfId="2640" xr:uid="{00000000-0005-0000-0000-0000F51C0000}"/>
    <cellStyle name="Normal 8 2 4 2 6 2" xfId="6923" xr:uid="{00000000-0005-0000-0000-0000F61C0000}"/>
    <cellStyle name="Normal 8 2 4 2 6 2 2" xfId="15373" xr:uid="{A1B0C71D-F57D-4D51-8D13-C22F62146C60}"/>
    <cellStyle name="Normal 8 2 4 2 6 3" xfId="11155" xr:uid="{49B7A673-C64C-46BE-BD5E-4CC14F1A5B0A}"/>
    <cellStyle name="Normal 8 2 4 2 7" xfId="4858" xr:uid="{00000000-0005-0000-0000-0000F71C0000}"/>
    <cellStyle name="Normal 8 2 4 2 7 2" xfId="13308" xr:uid="{CF367CB5-6BFC-4F3E-A535-E22AFD7E2006}"/>
    <cellStyle name="Normal 8 2 4 2 8" xfId="9090" xr:uid="{865AED1B-4ABB-4A1D-9A03-8BCB4EF43843}"/>
    <cellStyle name="Normal 8 2 4 3" xfId="959" xr:uid="{00000000-0005-0000-0000-0000F81C0000}"/>
    <cellStyle name="Normal 8 2 4 3 2" xfId="3193" xr:uid="{00000000-0005-0000-0000-0000F91C0000}"/>
    <cellStyle name="Normal 8 2 4 3 2 2" xfId="7415" xr:uid="{00000000-0005-0000-0000-0000FA1C0000}"/>
    <cellStyle name="Normal 8 2 4 3 2 2 2" xfId="15865" xr:uid="{C9423043-7135-49D4-AB79-7E9E6655A182}"/>
    <cellStyle name="Normal 8 2 4 3 2 3" xfId="11647" xr:uid="{1EA9D63C-E1A0-4423-8F36-0C8B62C3A4C6}"/>
    <cellStyle name="Normal 8 2 4 3 3" xfId="5270" xr:uid="{00000000-0005-0000-0000-0000FB1C0000}"/>
    <cellStyle name="Normal 8 2 4 3 3 2" xfId="13720" xr:uid="{324D3E07-D90F-4535-95D9-794EE125CB50}"/>
    <cellStyle name="Normal 8 2 4 3 4" xfId="9502" xr:uid="{8E39D224-1FB2-4BCD-85F5-A62126E87358}"/>
    <cellStyle name="Normal 8 2 4 4" xfId="1376" xr:uid="{00000000-0005-0000-0000-0000FC1C0000}"/>
    <cellStyle name="Normal 8 2 4 4 2" xfId="3606" xr:uid="{00000000-0005-0000-0000-0000FD1C0000}"/>
    <cellStyle name="Normal 8 2 4 4 2 2" xfId="7828" xr:uid="{00000000-0005-0000-0000-0000FE1C0000}"/>
    <cellStyle name="Normal 8 2 4 4 2 2 2" xfId="16278" xr:uid="{87F05E56-1DFE-4BEC-A7D5-0668559DE9F5}"/>
    <cellStyle name="Normal 8 2 4 4 2 3" xfId="12060" xr:uid="{628B2B20-E49A-429F-BFDD-9B1485A9C420}"/>
    <cellStyle name="Normal 8 2 4 4 3" xfId="5683" xr:uid="{00000000-0005-0000-0000-0000FF1C0000}"/>
    <cellStyle name="Normal 8 2 4 4 3 2" xfId="14133" xr:uid="{2211BCFF-B897-4030-B514-B87081428EE3}"/>
    <cellStyle name="Normal 8 2 4 4 4" xfId="9915" xr:uid="{FCFC225F-5416-4C94-A310-DB2362F43C90}"/>
    <cellStyle name="Normal 8 2 4 5" xfId="1789" xr:uid="{00000000-0005-0000-0000-0000001D0000}"/>
    <cellStyle name="Normal 8 2 4 5 2" xfId="4019" xr:uid="{00000000-0005-0000-0000-0000011D0000}"/>
    <cellStyle name="Normal 8 2 4 5 2 2" xfId="8241" xr:uid="{00000000-0005-0000-0000-0000021D0000}"/>
    <cellStyle name="Normal 8 2 4 5 2 2 2" xfId="16691" xr:uid="{CBAEB726-7316-4733-B3B0-752A44E77222}"/>
    <cellStyle name="Normal 8 2 4 5 2 3" xfId="12473" xr:uid="{6711E104-03C7-4716-8374-6CE10A54B41F}"/>
    <cellStyle name="Normal 8 2 4 5 3" xfId="6096" xr:uid="{00000000-0005-0000-0000-0000031D0000}"/>
    <cellStyle name="Normal 8 2 4 5 3 2" xfId="14546" xr:uid="{64735C93-7A3D-4231-827E-6F26AA8F15CA}"/>
    <cellStyle name="Normal 8 2 4 5 4" xfId="10328" xr:uid="{22B38200-EEBC-4B24-9A70-E05D69738923}"/>
    <cellStyle name="Normal 8 2 4 6" xfId="2203" xr:uid="{00000000-0005-0000-0000-0000041D0000}"/>
    <cellStyle name="Normal 8 2 4 6 2" xfId="4432" xr:uid="{00000000-0005-0000-0000-0000051D0000}"/>
    <cellStyle name="Normal 8 2 4 6 2 2" xfId="8654" xr:uid="{00000000-0005-0000-0000-0000061D0000}"/>
    <cellStyle name="Normal 8 2 4 6 2 2 2" xfId="17104" xr:uid="{187F78E6-1B1F-449C-B4A4-C4C544ED068F}"/>
    <cellStyle name="Normal 8 2 4 6 2 3" xfId="12886" xr:uid="{73EF307E-2500-4AA9-8B5D-2AEA570610AB}"/>
    <cellStyle name="Normal 8 2 4 6 3" xfId="6509" xr:uid="{00000000-0005-0000-0000-0000071D0000}"/>
    <cellStyle name="Normal 8 2 4 6 3 2" xfId="14959" xr:uid="{ADA089A4-B0EB-4851-8C3B-8F7D947D5AF9}"/>
    <cellStyle name="Normal 8 2 4 6 4" xfId="10741" xr:uid="{288A263C-92FE-4360-97A1-6DB36D28B701}"/>
    <cellStyle name="Normal 8 2 4 7" xfId="2639" xr:uid="{00000000-0005-0000-0000-0000081D0000}"/>
    <cellStyle name="Normal 8 2 4 7 2" xfId="6922" xr:uid="{00000000-0005-0000-0000-0000091D0000}"/>
    <cellStyle name="Normal 8 2 4 7 2 2" xfId="15372" xr:uid="{4DF44175-1114-41B4-B03C-68E4CA62F715}"/>
    <cellStyle name="Normal 8 2 4 7 3" xfId="11154" xr:uid="{3479C2D2-75D9-4EB3-AD48-472F3C88E256}"/>
    <cellStyle name="Normal 8 2 4 8" xfId="4857" xr:uid="{00000000-0005-0000-0000-00000A1D0000}"/>
    <cellStyle name="Normal 8 2 4 8 2" xfId="13307" xr:uid="{769806DE-04A7-41A3-A974-395BEFD532FB}"/>
    <cellStyle name="Normal 8 2 4 9" xfId="9089" xr:uid="{A45A8428-C893-42F0-A8DC-ACB483310C55}"/>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2 2 2" xfId="15867" xr:uid="{68FF822A-9A99-4830-A490-CAD5375E42A3}"/>
    <cellStyle name="Normal 8 2 5 2 2 3" xfId="11649" xr:uid="{F63338A8-C381-47A8-8095-503DB8A0A072}"/>
    <cellStyle name="Normal 8 2 5 2 3" xfId="5272" xr:uid="{00000000-0005-0000-0000-00000F1D0000}"/>
    <cellStyle name="Normal 8 2 5 2 3 2" xfId="13722" xr:uid="{586FEE6F-1EF7-42FD-A861-F2ADCF37EEA5}"/>
    <cellStyle name="Normal 8 2 5 2 4" xfId="9504" xr:uid="{19310CDB-A19D-4B38-B2B1-CE9EE114FC5A}"/>
    <cellStyle name="Normal 8 2 5 3" xfId="1378" xr:uid="{00000000-0005-0000-0000-0000101D0000}"/>
    <cellStyle name="Normal 8 2 5 3 2" xfId="3608" xr:uid="{00000000-0005-0000-0000-0000111D0000}"/>
    <cellStyle name="Normal 8 2 5 3 2 2" xfId="7830" xr:uid="{00000000-0005-0000-0000-0000121D0000}"/>
    <cellStyle name="Normal 8 2 5 3 2 2 2" xfId="16280" xr:uid="{D3D30588-4218-4D7A-8D44-81D9E92FA9C8}"/>
    <cellStyle name="Normal 8 2 5 3 2 3" xfId="12062" xr:uid="{5EE93257-BA81-45AC-B917-A966F6B1DD48}"/>
    <cellStyle name="Normal 8 2 5 3 3" xfId="5685" xr:uid="{00000000-0005-0000-0000-0000131D0000}"/>
    <cellStyle name="Normal 8 2 5 3 3 2" xfId="14135" xr:uid="{B3DA974A-F3B6-4A6A-A7EC-1A2F5CF8E0FD}"/>
    <cellStyle name="Normal 8 2 5 3 4" xfId="9917" xr:uid="{DABB60A9-F387-4D15-8D45-5AC9B98E729A}"/>
    <cellStyle name="Normal 8 2 5 4" xfId="1791" xr:uid="{00000000-0005-0000-0000-0000141D0000}"/>
    <cellStyle name="Normal 8 2 5 4 2" xfId="4021" xr:uid="{00000000-0005-0000-0000-0000151D0000}"/>
    <cellStyle name="Normal 8 2 5 4 2 2" xfId="8243" xr:uid="{00000000-0005-0000-0000-0000161D0000}"/>
    <cellStyle name="Normal 8 2 5 4 2 2 2" xfId="16693" xr:uid="{E3CAA56B-576F-4126-AE4A-B84854517B3A}"/>
    <cellStyle name="Normal 8 2 5 4 2 3" xfId="12475" xr:uid="{91BA4A1E-A32E-4BC1-9E39-F3426018D105}"/>
    <cellStyle name="Normal 8 2 5 4 3" xfId="6098" xr:uid="{00000000-0005-0000-0000-0000171D0000}"/>
    <cellStyle name="Normal 8 2 5 4 3 2" xfId="14548" xr:uid="{39DC8FDE-F272-437B-80A3-497AED5EA957}"/>
    <cellStyle name="Normal 8 2 5 4 4" xfId="10330" xr:uid="{1F0A469E-1476-4A29-9DBB-A6E0CE1D357B}"/>
    <cellStyle name="Normal 8 2 5 5" xfId="2205" xr:uid="{00000000-0005-0000-0000-0000181D0000}"/>
    <cellStyle name="Normal 8 2 5 5 2" xfId="4434" xr:uid="{00000000-0005-0000-0000-0000191D0000}"/>
    <cellStyle name="Normal 8 2 5 5 2 2" xfId="8656" xr:uid="{00000000-0005-0000-0000-00001A1D0000}"/>
    <cellStyle name="Normal 8 2 5 5 2 2 2" xfId="17106" xr:uid="{2F7CD988-27FC-44B2-8290-67F0CD498CDD}"/>
    <cellStyle name="Normal 8 2 5 5 2 3" xfId="12888" xr:uid="{2CC7D9A2-FA2B-44D7-A6B7-1BC030BBA34C}"/>
    <cellStyle name="Normal 8 2 5 5 3" xfId="6511" xr:uid="{00000000-0005-0000-0000-00001B1D0000}"/>
    <cellStyle name="Normal 8 2 5 5 3 2" xfId="14961" xr:uid="{CE516857-85C0-4CC0-9FDD-41F32CD5C6B2}"/>
    <cellStyle name="Normal 8 2 5 5 4" xfId="10743" xr:uid="{00AE8D08-CF88-44C2-BFBF-B9E1B909182B}"/>
    <cellStyle name="Normal 8 2 5 6" xfId="2641" xr:uid="{00000000-0005-0000-0000-00001C1D0000}"/>
    <cellStyle name="Normal 8 2 5 6 2" xfId="6924" xr:uid="{00000000-0005-0000-0000-00001D1D0000}"/>
    <cellStyle name="Normal 8 2 5 6 2 2" xfId="15374" xr:uid="{C460355F-6D4C-4367-8B36-CE14469AB62B}"/>
    <cellStyle name="Normal 8 2 5 6 3" xfId="11156" xr:uid="{59D37BA6-7B80-44FD-8D1D-D20A76E062A0}"/>
    <cellStyle name="Normal 8 2 5 7" xfId="4859" xr:uid="{00000000-0005-0000-0000-00001E1D0000}"/>
    <cellStyle name="Normal 8 2 5 7 2" xfId="13309" xr:uid="{ECB440EC-29ED-4367-8CB1-D0880A6F8A8A}"/>
    <cellStyle name="Normal 8 2 5 8" xfId="9091" xr:uid="{86477FCA-4273-4F71-82B3-3771528CC6FB}"/>
    <cellStyle name="Normal 8 2 6" xfId="946" xr:uid="{00000000-0005-0000-0000-00001F1D0000}"/>
    <cellStyle name="Normal 8 2 6 2" xfId="3180" xr:uid="{00000000-0005-0000-0000-0000201D0000}"/>
    <cellStyle name="Normal 8 2 6 2 2" xfId="7402" xr:uid="{00000000-0005-0000-0000-0000211D0000}"/>
    <cellStyle name="Normal 8 2 6 2 2 2" xfId="15852" xr:uid="{FE3FB056-B372-4439-8065-9A05C4FF0D87}"/>
    <cellStyle name="Normal 8 2 6 2 3" xfId="11634" xr:uid="{A46EA8BF-3260-4834-B8BA-3ECB99F88C29}"/>
    <cellStyle name="Normal 8 2 6 3" xfId="5257" xr:uid="{00000000-0005-0000-0000-0000221D0000}"/>
    <cellStyle name="Normal 8 2 6 3 2" xfId="13707" xr:uid="{52A981F8-5B1F-4B28-9DDE-E5F25757C2AF}"/>
    <cellStyle name="Normal 8 2 6 4" xfId="9489" xr:uid="{3262726C-5270-4CE3-873D-A18C49503517}"/>
    <cellStyle name="Normal 8 2 7" xfId="1363" xr:uid="{00000000-0005-0000-0000-0000231D0000}"/>
    <cellStyle name="Normal 8 2 7 2" xfId="3593" xr:uid="{00000000-0005-0000-0000-0000241D0000}"/>
    <cellStyle name="Normal 8 2 7 2 2" xfId="7815" xr:uid="{00000000-0005-0000-0000-0000251D0000}"/>
    <cellStyle name="Normal 8 2 7 2 2 2" xfId="16265" xr:uid="{FD3AA3AF-280A-4269-ABEC-CAB1B580C67E}"/>
    <cellStyle name="Normal 8 2 7 2 3" xfId="12047" xr:uid="{BF75258A-995C-4E0A-B574-0F8664265A6E}"/>
    <cellStyle name="Normal 8 2 7 3" xfId="5670" xr:uid="{00000000-0005-0000-0000-0000261D0000}"/>
    <cellStyle name="Normal 8 2 7 3 2" xfId="14120" xr:uid="{3D9E254C-A05C-4786-BAF7-C5115CEDCA04}"/>
    <cellStyle name="Normal 8 2 7 4" xfId="9902" xr:uid="{1D9E2396-036B-463B-B2D6-7CBD20BCEC3A}"/>
    <cellStyle name="Normal 8 2 8" xfId="1776" xr:uid="{00000000-0005-0000-0000-0000271D0000}"/>
    <cellStyle name="Normal 8 2 8 2" xfId="4006" xr:uid="{00000000-0005-0000-0000-0000281D0000}"/>
    <cellStyle name="Normal 8 2 8 2 2" xfId="8228" xr:uid="{00000000-0005-0000-0000-0000291D0000}"/>
    <cellStyle name="Normal 8 2 8 2 2 2" xfId="16678" xr:uid="{E14BF286-EF04-4ADC-8E1B-400E056F135B}"/>
    <cellStyle name="Normal 8 2 8 2 3" xfId="12460" xr:uid="{F6A130F9-48C2-4ECA-91CF-831A049F9471}"/>
    <cellStyle name="Normal 8 2 8 3" xfId="6083" xr:uid="{00000000-0005-0000-0000-00002A1D0000}"/>
    <cellStyle name="Normal 8 2 8 3 2" xfId="14533" xr:uid="{A95AD2E9-B456-4352-BCB0-48DF70446FFF}"/>
    <cellStyle name="Normal 8 2 8 4" xfId="10315" xr:uid="{A468597E-E2B8-4666-8E3D-AC9C1088F51B}"/>
    <cellStyle name="Normal 8 2 9" xfId="2190" xr:uid="{00000000-0005-0000-0000-00002B1D0000}"/>
    <cellStyle name="Normal 8 2 9 2" xfId="4419" xr:uid="{00000000-0005-0000-0000-00002C1D0000}"/>
    <cellStyle name="Normal 8 2 9 2 2" xfId="8641" xr:uid="{00000000-0005-0000-0000-00002D1D0000}"/>
    <cellStyle name="Normal 8 2 9 2 2 2" xfId="17091" xr:uid="{6C1FA2B5-5CE6-4D1F-A88F-19BC96B47E5C}"/>
    <cellStyle name="Normal 8 2 9 2 3" xfId="12873" xr:uid="{DB2B80FA-7EC3-4B67-9770-DF3FC84D1517}"/>
    <cellStyle name="Normal 8 2 9 3" xfId="6496" xr:uid="{00000000-0005-0000-0000-00002E1D0000}"/>
    <cellStyle name="Normal 8 2 9 3 2" xfId="14946" xr:uid="{84F1A04A-DEBC-436F-AFEF-81CEA25775B4}"/>
    <cellStyle name="Normal 8 2 9 4" xfId="10728" xr:uid="{97D2B24F-5B86-423B-826A-46037F34B59B}"/>
    <cellStyle name="Normal 8 3" xfId="495" xr:uid="{00000000-0005-0000-0000-00002F1D0000}"/>
    <cellStyle name="Normal 8 3 10" xfId="4860" xr:uid="{00000000-0005-0000-0000-0000301D0000}"/>
    <cellStyle name="Normal 8 3 10 2" xfId="13310" xr:uid="{91B99382-E1C0-477E-9694-1D70398C2E89}"/>
    <cellStyle name="Normal 8 3 11" xfId="9092" xr:uid="{99E94CC7-618E-472A-A8D6-45654D702CC3}"/>
    <cellStyle name="Normal 8 3 2" xfId="496" xr:uid="{00000000-0005-0000-0000-0000311D0000}"/>
    <cellStyle name="Normal 8 3 2 10" xfId="9093" xr:uid="{D3DAF771-0D6B-4CA0-A73C-4706D640DFC9}"/>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2 2 2" xfId="15871" xr:uid="{91B31F97-494C-4C6A-A488-3128DB8D5709}"/>
    <cellStyle name="Normal 8 3 2 2 2 2 2 3" xfId="11653" xr:uid="{97B7C552-089D-48FA-8D36-5A29EAAC1575}"/>
    <cellStyle name="Normal 8 3 2 2 2 2 3" xfId="5276" xr:uid="{00000000-0005-0000-0000-0000371D0000}"/>
    <cellStyle name="Normal 8 3 2 2 2 2 3 2" xfId="13726" xr:uid="{AF14C579-8C9E-40ED-9789-78A4AE1F2E57}"/>
    <cellStyle name="Normal 8 3 2 2 2 2 4" xfId="9508" xr:uid="{FA0D24D4-7FFE-46A5-88D4-74AB3D169B5D}"/>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2 2 2" xfId="16284" xr:uid="{DD80B7D9-AF0A-42F0-8F08-BC4DAD63BBDB}"/>
    <cellStyle name="Normal 8 3 2 2 2 3 2 3" xfId="12066" xr:uid="{35F3CBC2-B4A5-4386-81A7-3B30B88E6827}"/>
    <cellStyle name="Normal 8 3 2 2 2 3 3" xfId="5689" xr:uid="{00000000-0005-0000-0000-00003B1D0000}"/>
    <cellStyle name="Normal 8 3 2 2 2 3 3 2" xfId="14139" xr:uid="{1E471F62-625D-4D1D-825E-4ACD2E9E8539}"/>
    <cellStyle name="Normal 8 3 2 2 2 3 4" xfId="9921" xr:uid="{7F07CC28-8C6C-4CFD-85C0-28CF0CBFEB5F}"/>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2 2 2" xfId="16697" xr:uid="{6CE1A474-8F4E-4212-B3B7-818102F71258}"/>
    <cellStyle name="Normal 8 3 2 2 2 4 2 3" xfId="12479" xr:uid="{820ADC74-7C80-487B-9E5E-F25A6FB678DA}"/>
    <cellStyle name="Normal 8 3 2 2 2 4 3" xfId="6102" xr:uid="{00000000-0005-0000-0000-00003F1D0000}"/>
    <cellStyle name="Normal 8 3 2 2 2 4 3 2" xfId="14552" xr:uid="{854BA471-4E67-4CDF-887B-A88333E8B260}"/>
    <cellStyle name="Normal 8 3 2 2 2 4 4" xfId="10334" xr:uid="{C9CDFBD9-9EEC-4503-B129-36FE87A8D032}"/>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2 2 2" xfId="17110" xr:uid="{E1165AE4-72E1-419E-8805-58511B6C6E6C}"/>
    <cellStyle name="Normal 8 3 2 2 2 5 2 3" xfId="12892" xr:uid="{1AD054C7-4CF6-4BE0-9223-E6D6CB389868}"/>
    <cellStyle name="Normal 8 3 2 2 2 5 3" xfId="6515" xr:uid="{00000000-0005-0000-0000-0000431D0000}"/>
    <cellStyle name="Normal 8 3 2 2 2 5 3 2" xfId="14965" xr:uid="{8B79F32C-1372-4CB7-AE70-2C9F6942E4F1}"/>
    <cellStyle name="Normal 8 3 2 2 2 5 4" xfId="10747" xr:uid="{A8986536-54A9-4330-8C4F-2A8E2C847C8B}"/>
    <cellStyle name="Normal 8 3 2 2 2 6" xfId="2645" xr:uid="{00000000-0005-0000-0000-0000441D0000}"/>
    <cellStyle name="Normal 8 3 2 2 2 6 2" xfId="6928" xr:uid="{00000000-0005-0000-0000-0000451D0000}"/>
    <cellStyle name="Normal 8 3 2 2 2 6 2 2" xfId="15378" xr:uid="{034FA831-5A25-4E66-BDA0-D6A54B67D1DD}"/>
    <cellStyle name="Normal 8 3 2 2 2 6 3" xfId="11160" xr:uid="{05C45B7A-F3AB-4F90-A028-C53D7E8979F1}"/>
    <cellStyle name="Normal 8 3 2 2 2 7" xfId="4863" xr:uid="{00000000-0005-0000-0000-0000461D0000}"/>
    <cellStyle name="Normal 8 3 2 2 2 7 2" xfId="13313" xr:uid="{DDD4AD4F-9ECA-4CB0-8FCE-28F260F72D07}"/>
    <cellStyle name="Normal 8 3 2 2 2 8" xfId="9095" xr:uid="{E064ED9B-37D1-409A-A19F-10BA6A4E0E64}"/>
    <cellStyle name="Normal 8 3 2 2 3" xfId="964" xr:uid="{00000000-0005-0000-0000-0000471D0000}"/>
    <cellStyle name="Normal 8 3 2 2 3 2" xfId="3198" xr:uid="{00000000-0005-0000-0000-0000481D0000}"/>
    <cellStyle name="Normal 8 3 2 2 3 2 2" xfId="7420" xr:uid="{00000000-0005-0000-0000-0000491D0000}"/>
    <cellStyle name="Normal 8 3 2 2 3 2 2 2" xfId="15870" xr:uid="{965566B2-B35F-4D35-9813-F22A07ECB108}"/>
    <cellStyle name="Normal 8 3 2 2 3 2 3" xfId="11652" xr:uid="{A5860B11-DEAD-4CD8-A942-BBEE9C93A16C}"/>
    <cellStyle name="Normal 8 3 2 2 3 3" xfId="5275" xr:uid="{00000000-0005-0000-0000-00004A1D0000}"/>
    <cellStyle name="Normal 8 3 2 2 3 3 2" xfId="13725" xr:uid="{155D7362-79A1-4B2F-835F-B06986DD89D8}"/>
    <cellStyle name="Normal 8 3 2 2 3 4" xfId="9507" xr:uid="{911F004B-480D-465A-AED2-8589199E33ED}"/>
    <cellStyle name="Normal 8 3 2 2 4" xfId="1381" xr:uid="{00000000-0005-0000-0000-00004B1D0000}"/>
    <cellStyle name="Normal 8 3 2 2 4 2" xfId="3611" xr:uid="{00000000-0005-0000-0000-00004C1D0000}"/>
    <cellStyle name="Normal 8 3 2 2 4 2 2" xfId="7833" xr:uid="{00000000-0005-0000-0000-00004D1D0000}"/>
    <cellStyle name="Normal 8 3 2 2 4 2 2 2" xfId="16283" xr:uid="{2127596B-8532-4499-A2C8-41396FB15D31}"/>
    <cellStyle name="Normal 8 3 2 2 4 2 3" xfId="12065" xr:uid="{02F2C1BF-8E1F-419F-85A5-15786CE1B0A2}"/>
    <cellStyle name="Normal 8 3 2 2 4 3" xfId="5688" xr:uid="{00000000-0005-0000-0000-00004E1D0000}"/>
    <cellStyle name="Normal 8 3 2 2 4 3 2" xfId="14138" xr:uid="{C38F559F-96B4-4053-8BAA-C314690B004A}"/>
    <cellStyle name="Normal 8 3 2 2 4 4" xfId="9920" xr:uid="{53DD68ED-FEFD-477D-A56D-547D9E6F4DCD}"/>
    <cellStyle name="Normal 8 3 2 2 5" xfId="1794" xr:uid="{00000000-0005-0000-0000-00004F1D0000}"/>
    <cellStyle name="Normal 8 3 2 2 5 2" xfId="4024" xr:uid="{00000000-0005-0000-0000-0000501D0000}"/>
    <cellStyle name="Normal 8 3 2 2 5 2 2" xfId="8246" xr:uid="{00000000-0005-0000-0000-0000511D0000}"/>
    <cellStyle name="Normal 8 3 2 2 5 2 2 2" xfId="16696" xr:uid="{3F5D9045-CCBA-4F67-80EE-5E5BB94E1D85}"/>
    <cellStyle name="Normal 8 3 2 2 5 2 3" xfId="12478" xr:uid="{73DE1009-BE02-4FE1-AAAD-11EE1CDF3F4A}"/>
    <cellStyle name="Normal 8 3 2 2 5 3" xfId="6101" xr:uid="{00000000-0005-0000-0000-0000521D0000}"/>
    <cellStyle name="Normal 8 3 2 2 5 3 2" xfId="14551" xr:uid="{6F6D20CC-601D-49D1-B800-8DEAC881EF74}"/>
    <cellStyle name="Normal 8 3 2 2 5 4" xfId="10333" xr:uid="{82399194-F2A3-4FE2-859A-CE42C9A01A1D}"/>
    <cellStyle name="Normal 8 3 2 2 6" xfId="2208" xr:uid="{00000000-0005-0000-0000-0000531D0000}"/>
    <cellStyle name="Normal 8 3 2 2 6 2" xfId="4437" xr:uid="{00000000-0005-0000-0000-0000541D0000}"/>
    <cellStyle name="Normal 8 3 2 2 6 2 2" xfId="8659" xr:uid="{00000000-0005-0000-0000-0000551D0000}"/>
    <cellStyle name="Normal 8 3 2 2 6 2 2 2" xfId="17109" xr:uid="{B1A4E7D7-64B0-4BC4-8514-1B3F26798BE1}"/>
    <cellStyle name="Normal 8 3 2 2 6 2 3" xfId="12891" xr:uid="{EF848096-F8F1-4E9B-B537-A309B4F2557C}"/>
    <cellStyle name="Normal 8 3 2 2 6 3" xfId="6514" xr:uid="{00000000-0005-0000-0000-0000561D0000}"/>
    <cellStyle name="Normal 8 3 2 2 6 3 2" xfId="14964" xr:uid="{00FE2DD1-C759-42BC-8BFA-8049F219D592}"/>
    <cellStyle name="Normal 8 3 2 2 6 4" xfId="10746" xr:uid="{75164B45-DE1A-48A9-82AA-72B57C481959}"/>
    <cellStyle name="Normal 8 3 2 2 7" xfId="2644" xr:uid="{00000000-0005-0000-0000-0000571D0000}"/>
    <cellStyle name="Normal 8 3 2 2 7 2" xfId="6927" xr:uid="{00000000-0005-0000-0000-0000581D0000}"/>
    <cellStyle name="Normal 8 3 2 2 7 2 2" xfId="15377" xr:uid="{0698DF95-6A4B-4188-9A55-2EAF5E6E265B}"/>
    <cellStyle name="Normal 8 3 2 2 7 3" xfId="11159" xr:uid="{61570920-B21B-445B-B28D-4EB352FF7D4F}"/>
    <cellStyle name="Normal 8 3 2 2 8" xfId="4862" xr:uid="{00000000-0005-0000-0000-0000591D0000}"/>
    <cellStyle name="Normal 8 3 2 2 8 2" xfId="13312" xr:uid="{D8906B1E-BC5B-4A02-BA77-72C819317346}"/>
    <cellStyle name="Normal 8 3 2 2 9" xfId="9094" xr:uid="{3AE0334A-7578-4342-8091-877711FC9F45}"/>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2 2 2" xfId="15872" xr:uid="{76C960A9-700A-4784-AAB5-B8E0605E90BD}"/>
    <cellStyle name="Normal 8 3 2 3 2 2 3" xfId="11654" xr:uid="{548E8C69-A1A5-4420-B8BF-0C98051DA63D}"/>
    <cellStyle name="Normal 8 3 2 3 2 3" xfId="5277" xr:uid="{00000000-0005-0000-0000-00005E1D0000}"/>
    <cellStyle name="Normal 8 3 2 3 2 3 2" xfId="13727" xr:uid="{A0F25344-1CE9-406D-94BA-499D3D1991CF}"/>
    <cellStyle name="Normal 8 3 2 3 2 4" xfId="9509" xr:uid="{A1235961-E64E-48ED-8DAF-26C1C005BF7B}"/>
    <cellStyle name="Normal 8 3 2 3 3" xfId="1383" xr:uid="{00000000-0005-0000-0000-00005F1D0000}"/>
    <cellStyle name="Normal 8 3 2 3 3 2" xfId="3613" xr:uid="{00000000-0005-0000-0000-0000601D0000}"/>
    <cellStyle name="Normal 8 3 2 3 3 2 2" xfId="7835" xr:uid="{00000000-0005-0000-0000-0000611D0000}"/>
    <cellStyle name="Normal 8 3 2 3 3 2 2 2" xfId="16285" xr:uid="{0CAAA1F0-C2E9-4587-BA15-90AC33A1457F}"/>
    <cellStyle name="Normal 8 3 2 3 3 2 3" xfId="12067" xr:uid="{4A8F2FF5-07F4-46A0-888F-D42049B33842}"/>
    <cellStyle name="Normal 8 3 2 3 3 3" xfId="5690" xr:uid="{00000000-0005-0000-0000-0000621D0000}"/>
    <cellStyle name="Normal 8 3 2 3 3 3 2" xfId="14140" xr:uid="{AD7EE037-934F-4B29-BBF5-72AC6B068231}"/>
    <cellStyle name="Normal 8 3 2 3 3 4" xfId="9922" xr:uid="{A0362918-0F52-4087-9BDC-E2FBDC2785F8}"/>
    <cellStyle name="Normal 8 3 2 3 4" xfId="1796" xr:uid="{00000000-0005-0000-0000-0000631D0000}"/>
    <cellStyle name="Normal 8 3 2 3 4 2" xfId="4026" xr:uid="{00000000-0005-0000-0000-0000641D0000}"/>
    <cellStyle name="Normal 8 3 2 3 4 2 2" xfId="8248" xr:uid="{00000000-0005-0000-0000-0000651D0000}"/>
    <cellStyle name="Normal 8 3 2 3 4 2 2 2" xfId="16698" xr:uid="{8343E7B7-5162-40FB-9B18-E9CC5FA4AE49}"/>
    <cellStyle name="Normal 8 3 2 3 4 2 3" xfId="12480" xr:uid="{D77B89DB-B928-4EBA-B442-7AF83A49E538}"/>
    <cellStyle name="Normal 8 3 2 3 4 3" xfId="6103" xr:uid="{00000000-0005-0000-0000-0000661D0000}"/>
    <cellStyle name="Normal 8 3 2 3 4 3 2" xfId="14553" xr:uid="{9A4252CF-9445-4F36-BC83-59CD85F6A925}"/>
    <cellStyle name="Normal 8 3 2 3 4 4" xfId="10335" xr:uid="{C52C65FF-3758-42AE-A938-D58DB2CEC819}"/>
    <cellStyle name="Normal 8 3 2 3 5" xfId="2210" xr:uid="{00000000-0005-0000-0000-0000671D0000}"/>
    <cellStyle name="Normal 8 3 2 3 5 2" xfId="4439" xr:uid="{00000000-0005-0000-0000-0000681D0000}"/>
    <cellStyle name="Normal 8 3 2 3 5 2 2" xfId="8661" xr:uid="{00000000-0005-0000-0000-0000691D0000}"/>
    <cellStyle name="Normal 8 3 2 3 5 2 2 2" xfId="17111" xr:uid="{03CA4542-7CCA-4AED-B7A0-36E49E57791A}"/>
    <cellStyle name="Normal 8 3 2 3 5 2 3" xfId="12893" xr:uid="{F3F7C495-18A3-4E9D-9737-473F321C6950}"/>
    <cellStyle name="Normal 8 3 2 3 5 3" xfId="6516" xr:uid="{00000000-0005-0000-0000-00006A1D0000}"/>
    <cellStyle name="Normal 8 3 2 3 5 3 2" xfId="14966" xr:uid="{46E6E194-453F-4EEB-AB4B-C2EE179573A4}"/>
    <cellStyle name="Normal 8 3 2 3 5 4" xfId="10748" xr:uid="{4B62E106-FD94-4D72-A2B4-1181C3D1D5F4}"/>
    <cellStyle name="Normal 8 3 2 3 6" xfId="2646" xr:uid="{00000000-0005-0000-0000-00006B1D0000}"/>
    <cellStyle name="Normal 8 3 2 3 6 2" xfId="6929" xr:uid="{00000000-0005-0000-0000-00006C1D0000}"/>
    <cellStyle name="Normal 8 3 2 3 6 2 2" xfId="15379" xr:uid="{A22CC66A-9537-4D0D-AA85-44C59E01CBFC}"/>
    <cellStyle name="Normal 8 3 2 3 6 3" xfId="11161" xr:uid="{E9DA904B-C232-4B65-87E9-8C073B29A66C}"/>
    <cellStyle name="Normal 8 3 2 3 7" xfId="4864" xr:uid="{00000000-0005-0000-0000-00006D1D0000}"/>
    <cellStyle name="Normal 8 3 2 3 7 2" xfId="13314" xr:uid="{532707D6-D782-4D8E-98B0-30F5D91EDDB9}"/>
    <cellStyle name="Normal 8 3 2 3 8" xfId="9096" xr:uid="{19AD730C-39C7-4D56-9BC4-552174BDDDC8}"/>
    <cellStyle name="Normal 8 3 2 4" xfId="963" xr:uid="{00000000-0005-0000-0000-00006E1D0000}"/>
    <cellStyle name="Normal 8 3 2 4 2" xfId="3197" xr:uid="{00000000-0005-0000-0000-00006F1D0000}"/>
    <cellStyle name="Normal 8 3 2 4 2 2" xfId="7419" xr:uid="{00000000-0005-0000-0000-0000701D0000}"/>
    <cellStyle name="Normal 8 3 2 4 2 2 2" xfId="15869" xr:uid="{F43B1628-A26A-433B-8758-3D7991E6B4AB}"/>
    <cellStyle name="Normal 8 3 2 4 2 3" xfId="11651" xr:uid="{84921ABC-82C7-46F5-8CDF-317244153C78}"/>
    <cellStyle name="Normal 8 3 2 4 3" xfId="5274" xr:uid="{00000000-0005-0000-0000-0000711D0000}"/>
    <cellStyle name="Normal 8 3 2 4 3 2" xfId="13724" xr:uid="{4037C2A0-3DBD-4D55-848B-943AE0C2801E}"/>
    <cellStyle name="Normal 8 3 2 4 4" xfId="9506" xr:uid="{215CA872-5E66-4553-9F3C-55E56D371820}"/>
    <cellStyle name="Normal 8 3 2 5" xfId="1380" xr:uid="{00000000-0005-0000-0000-0000721D0000}"/>
    <cellStyle name="Normal 8 3 2 5 2" xfId="3610" xr:uid="{00000000-0005-0000-0000-0000731D0000}"/>
    <cellStyle name="Normal 8 3 2 5 2 2" xfId="7832" xr:uid="{00000000-0005-0000-0000-0000741D0000}"/>
    <cellStyle name="Normal 8 3 2 5 2 2 2" xfId="16282" xr:uid="{00546A00-4A4D-4DB5-993B-D2049112A016}"/>
    <cellStyle name="Normal 8 3 2 5 2 3" xfId="12064" xr:uid="{2AC36A4A-2CA4-41B8-9439-B4F6F19B3B03}"/>
    <cellStyle name="Normal 8 3 2 5 3" xfId="5687" xr:uid="{00000000-0005-0000-0000-0000751D0000}"/>
    <cellStyle name="Normal 8 3 2 5 3 2" xfId="14137" xr:uid="{1796425D-8CC7-40C9-9DD3-6E508E01069D}"/>
    <cellStyle name="Normal 8 3 2 5 4" xfId="9919" xr:uid="{AD2C2A30-FDAD-4983-948C-380712D105AA}"/>
    <cellStyle name="Normal 8 3 2 6" xfId="1793" xr:uid="{00000000-0005-0000-0000-0000761D0000}"/>
    <cellStyle name="Normal 8 3 2 6 2" xfId="4023" xr:uid="{00000000-0005-0000-0000-0000771D0000}"/>
    <cellStyle name="Normal 8 3 2 6 2 2" xfId="8245" xr:uid="{00000000-0005-0000-0000-0000781D0000}"/>
    <cellStyle name="Normal 8 3 2 6 2 2 2" xfId="16695" xr:uid="{19A1422B-855E-4F44-8DEF-92D9BC9DAB0D}"/>
    <cellStyle name="Normal 8 3 2 6 2 3" xfId="12477" xr:uid="{32C27C6E-026A-4A88-9998-37F12AB4D1D0}"/>
    <cellStyle name="Normal 8 3 2 6 3" xfId="6100" xr:uid="{00000000-0005-0000-0000-0000791D0000}"/>
    <cellStyle name="Normal 8 3 2 6 3 2" xfId="14550" xr:uid="{5232961A-7279-43BF-93A5-3855267ADA40}"/>
    <cellStyle name="Normal 8 3 2 6 4" xfId="10332" xr:uid="{E2BC38F2-259E-406E-AFEB-761BC3B1F42A}"/>
    <cellStyle name="Normal 8 3 2 7" xfId="2207" xr:uid="{00000000-0005-0000-0000-00007A1D0000}"/>
    <cellStyle name="Normal 8 3 2 7 2" xfId="4436" xr:uid="{00000000-0005-0000-0000-00007B1D0000}"/>
    <cellStyle name="Normal 8 3 2 7 2 2" xfId="8658" xr:uid="{00000000-0005-0000-0000-00007C1D0000}"/>
    <cellStyle name="Normal 8 3 2 7 2 2 2" xfId="17108" xr:uid="{641EFDFF-3CCA-4486-B93B-07D60E06EC69}"/>
    <cellStyle name="Normal 8 3 2 7 2 3" xfId="12890" xr:uid="{AC9CB9F7-FA98-4665-93BD-37E406447D1B}"/>
    <cellStyle name="Normal 8 3 2 7 3" xfId="6513" xr:uid="{00000000-0005-0000-0000-00007D1D0000}"/>
    <cellStyle name="Normal 8 3 2 7 3 2" xfId="14963" xr:uid="{DBD1200E-61B9-4D2B-8D67-FBC0EFF6B3C3}"/>
    <cellStyle name="Normal 8 3 2 7 4" xfId="10745" xr:uid="{3D1CB1DE-453E-4758-8A19-80E9EC2135A8}"/>
    <cellStyle name="Normal 8 3 2 8" xfId="2643" xr:uid="{00000000-0005-0000-0000-00007E1D0000}"/>
    <cellStyle name="Normal 8 3 2 8 2" xfId="6926" xr:uid="{00000000-0005-0000-0000-00007F1D0000}"/>
    <cellStyle name="Normal 8 3 2 8 2 2" xfId="15376" xr:uid="{30C2CF74-53E3-460F-B641-9189A16BE150}"/>
    <cellStyle name="Normal 8 3 2 8 3" xfId="11158" xr:uid="{FC30A4F8-259D-4EC5-9935-A24C19DF0C03}"/>
    <cellStyle name="Normal 8 3 2 9" xfId="4861" xr:uid="{00000000-0005-0000-0000-0000801D0000}"/>
    <cellStyle name="Normal 8 3 2 9 2" xfId="13311" xr:uid="{5E4CB98D-766A-45E2-BAAE-D33A6BE5346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2 2 2" xfId="15874" xr:uid="{9F0C415B-C934-4687-B97C-D13FC053D7A6}"/>
    <cellStyle name="Normal 8 3 3 2 2 2 3" xfId="11656" xr:uid="{845A2A81-D6EE-4C94-8E47-DBC9F0363D00}"/>
    <cellStyle name="Normal 8 3 3 2 2 3" xfId="5279" xr:uid="{00000000-0005-0000-0000-0000861D0000}"/>
    <cellStyle name="Normal 8 3 3 2 2 3 2" xfId="13729" xr:uid="{4DD61B31-C445-489B-8C80-C3AF61257E48}"/>
    <cellStyle name="Normal 8 3 3 2 2 4" xfId="9511" xr:uid="{4F8613AE-50D7-4EFB-9CBC-321D482CBE64}"/>
    <cellStyle name="Normal 8 3 3 2 3" xfId="1385" xr:uid="{00000000-0005-0000-0000-0000871D0000}"/>
    <cellStyle name="Normal 8 3 3 2 3 2" xfId="3615" xr:uid="{00000000-0005-0000-0000-0000881D0000}"/>
    <cellStyle name="Normal 8 3 3 2 3 2 2" xfId="7837" xr:uid="{00000000-0005-0000-0000-0000891D0000}"/>
    <cellStyle name="Normal 8 3 3 2 3 2 2 2" xfId="16287" xr:uid="{4535A4AE-2E35-46F5-B2BC-E6BE760FD4AB}"/>
    <cellStyle name="Normal 8 3 3 2 3 2 3" xfId="12069" xr:uid="{35496666-AF4B-4624-9F8A-D1D46B8FE729}"/>
    <cellStyle name="Normal 8 3 3 2 3 3" xfId="5692" xr:uid="{00000000-0005-0000-0000-00008A1D0000}"/>
    <cellStyle name="Normal 8 3 3 2 3 3 2" xfId="14142" xr:uid="{C4538190-2EFC-4752-9462-72FF9EBCF40F}"/>
    <cellStyle name="Normal 8 3 3 2 3 4" xfId="9924" xr:uid="{2F527941-A8D5-442B-A7FC-98ED27163AD5}"/>
    <cellStyle name="Normal 8 3 3 2 4" xfId="1798" xr:uid="{00000000-0005-0000-0000-00008B1D0000}"/>
    <cellStyle name="Normal 8 3 3 2 4 2" xfId="4028" xr:uid="{00000000-0005-0000-0000-00008C1D0000}"/>
    <cellStyle name="Normal 8 3 3 2 4 2 2" xfId="8250" xr:uid="{00000000-0005-0000-0000-00008D1D0000}"/>
    <cellStyle name="Normal 8 3 3 2 4 2 2 2" xfId="16700" xr:uid="{82656531-1D4F-4088-BB01-A6FAE1BB9398}"/>
    <cellStyle name="Normal 8 3 3 2 4 2 3" xfId="12482" xr:uid="{24778B85-BE83-4EEE-8FD1-EC6E7D545CFF}"/>
    <cellStyle name="Normal 8 3 3 2 4 3" xfId="6105" xr:uid="{00000000-0005-0000-0000-00008E1D0000}"/>
    <cellStyle name="Normal 8 3 3 2 4 3 2" xfId="14555" xr:uid="{A0E240E8-FAFF-45F0-B17E-ED9569D134D9}"/>
    <cellStyle name="Normal 8 3 3 2 4 4" xfId="10337" xr:uid="{C7345379-5A8E-4A3B-80ED-316B3DDDA888}"/>
    <cellStyle name="Normal 8 3 3 2 5" xfId="2212" xr:uid="{00000000-0005-0000-0000-00008F1D0000}"/>
    <cellStyle name="Normal 8 3 3 2 5 2" xfId="4441" xr:uid="{00000000-0005-0000-0000-0000901D0000}"/>
    <cellStyle name="Normal 8 3 3 2 5 2 2" xfId="8663" xr:uid="{00000000-0005-0000-0000-0000911D0000}"/>
    <cellStyle name="Normal 8 3 3 2 5 2 2 2" xfId="17113" xr:uid="{F83435E4-EC3E-4C4B-9AA6-04874FF26B37}"/>
    <cellStyle name="Normal 8 3 3 2 5 2 3" xfId="12895" xr:uid="{E422A8C1-0CC6-4130-8E11-258C3CD3CDC0}"/>
    <cellStyle name="Normal 8 3 3 2 5 3" xfId="6518" xr:uid="{00000000-0005-0000-0000-0000921D0000}"/>
    <cellStyle name="Normal 8 3 3 2 5 3 2" xfId="14968" xr:uid="{93FD50B8-AFE6-4979-A816-0E7676B7EF7C}"/>
    <cellStyle name="Normal 8 3 3 2 5 4" xfId="10750" xr:uid="{F77CE427-02FC-4135-B3F4-84F60B4ABAC4}"/>
    <cellStyle name="Normal 8 3 3 2 6" xfId="2648" xr:uid="{00000000-0005-0000-0000-0000931D0000}"/>
    <cellStyle name="Normal 8 3 3 2 6 2" xfId="6931" xr:uid="{00000000-0005-0000-0000-0000941D0000}"/>
    <cellStyle name="Normal 8 3 3 2 6 2 2" xfId="15381" xr:uid="{E8C901F0-E34C-44B6-AE10-6063435A998B}"/>
    <cellStyle name="Normal 8 3 3 2 6 3" xfId="11163" xr:uid="{DDD85968-8961-49B8-B76C-942A2311C19B}"/>
    <cellStyle name="Normal 8 3 3 2 7" xfId="4866" xr:uid="{00000000-0005-0000-0000-0000951D0000}"/>
    <cellStyle name="Normal 8 3 3 2 7 2" xfId="13316" xr:uid="{ACA9EA80-7763-46A1-9E78-DAF4763F815D}"/>
    <cellStyle name="Normal 8 3 3 2 8" xfId="9098" xr:uid="{B995C399-4430-479A-9EEE-F9471CF59C13}"/>
    <cellStyle name="Normal 8 3 3 3" xfId="967" xr:uid="{00000000-0005-0000-0000-0000961D0000}"/>
    <cellStyle name="Normal 8 3 3 3 2" xfId="3201" xr:uid="{00000000-0005-0000-0000-0000971D0000}"/>
    <cellStyle name="Normal 8 3 3 3 2 2" xfId="7423" xr:uid="{00000000-0005-0000-0000-0000981D0000}"/>
    <cellStyle name="Normal 8 3 3 3 2 2 2" xfId="15873" xr:uid="{CAAC05B1-5E63-4AEE-A0D1-5E78E8C217BD}"/>
    <cellStyle name="Normal 8 3 3 3 2 3" xfId="11655" xr:uid="{19FBCC57-4CAE-4801-A9B4-A602F543DC08}"/>
    <cellStyle name="Normal 8 3 3 3 3" xfId="5278" xr:uid="{00000000-0005-0000-0000-0000991D0000}"/>
    <cellStyle name="Normal 8 3 3 3 3 2" xfId="13728" xr:uid="{8B030B69-D7B2-418A-904D-679C5CDE335F}"/>
    <cellStyle name="Normal 8 3 3 3 4" xfId="9510" xr:uid="{B330F87B-669D-407F-9CF2-128CF5931EB6}"/>
    <cellStyle name="Normal 8 3 3 4" xfId="1384" xr:uid="{00000000-0005-0000-0000-00009A1D0000}"/>
    <cellStyle name="Normal 8 3 3 4 2" xfId="3614" xr:uid="{00000000-0005-0000-0000-00009B1D0000}"/>
    <cellStyle name="Normal 8 3 3 4 2 2" xfId="7836" xr:uid="{00000000-0005-0000-0000-00009C1D0000}"/>
    <cellStyle name="Normal 8 3 3 4 2 2 2" xfId="16286" xr:uid="{BCECAE93-2FD7-40E1-98DD-473A9D77C689}"/>
    <cellStyle name="Normal 8 3 3 4 2 3" xfId="12068" xr:uid="{29716C85-B0D8-4B31-90A0-33C8324CF240}"/>
    <cellStyle name="Normal 8 3 3 4 3" xfId="5691" xr:uid="{00000000-0005-0000-0000-00009D1D0000}"/>
    <cellStyle name="Normal 8 3 3 4 3 2" xfId="14141" xr:uid="{79DA855D-72A5-4FDC-973F-5D4FC993B5DA}"/>
    <cellStyle name="Normal 8 3 3 4 4" xfId="9923" xr:uid="{590C451C-D832-4F43-8E4F-6EA257813073}"/>
    <cellStyle name="Normal 8 3 3 5" xfId="1797" xr:uid="{00000000-0005-0000-0000-00009E1D0000}"/>
    <cellStyle name="Normal 8 3 3 5 2" xfId="4027" xr:uid="{00000000-0005-0000-0000-00009F1D0000}"/>
    <cellStyle name="Normal 8 3 3 5 2 2" xfId="8249" xr:uid="{00000000-0005-0000-0000-0000A01D0000}"/>
    <cellStyle name="Normal 8 3 3 5 2 2 2" xfId="16699" xr:uid="{568C4A37-AD05-4AE5-A668-127F92E5DEB8}"/>
    <cellStyle name="Normal 8 3 3 5 2 3" xfId="12481" xr:uid="{118A4D61-828C-499A-A74A-EE2418118F6E}"/>
    <cellStyle name="Normal 8 3 3 5 3" xfId="6104" xr:uid="{00000000-0005-0000-0000-0000A11D0000}"/>
    <cellStyle name="Normal 8 3 3 5 3 2" xfId="14554" xr:uid="{1B80C25C-9A29-4C70-933E-F665E4A37AA2}"/>
    <cellStyle name="Normal 8 3 3 5 4" xfId="10336" xr:uid="{EDEF0D88-BC28-46BA-83BE-783ADD7C3F59}"/>
    <cellStyle name="Normal 8 3 3 6" xfId="2211" xr:uid="{00000000-0005-0000-0000-0000A21D0000}"/>
    <cellStyle name="Normal 8 3 3 6 2" xfId="4440" xr:uid="{00000000-0005-0000-0000-0000A31D0000}"/>
    <cellStyle name="Normal 8 3 3 6 2 2" xfId="8662" xr:uid="{00000000-0005-0000-0000-0000A41D0000}"/>
    <cellStyle name="Normal 8 3 3 6 2 2 2" xfId="17112" xr:uid="{79B5E138-B0CE-47F7-AB20-1B7F70E82B41}"/>
    <cellStyle name="Normal 8 3 3 6 2 3" xfId="12894" xr:uid="{C244F80C-94AB-492C-A8F4-13569A31000F}"/>
    <cellStyle name="Normal 8 3 3 6 3" xfId="6517" xr:uid="{00000000-0005-0000-0000-0000A51D0000}"/>
    <cellStyle name="Normal 8 3 3 6 3 2" xfId="14967" xr:uid="{F3804B3C-69FC-47A8-AC8B-B76682D4B65C}"/>
    <cellStyle name="Normal 8 3 3 6 4" xfId="10749" xr:uid="{B3B39AAA-0CCA-4AA2-945E-6CA0E6EE1616}"/>
    <cellStyle name="Normal 8 3 3 7" xfId="2647" xr:uid="{00000000-0005-0000-0000-0000A61D0000}"/>
    <cellStyle name="Normal 8 3 3 7 2" xfId="6930" xr:uid="{00000000-0005-0000-0000-0000A71D0000}"/>
    <cellStyle name="Normal 8 3 3 7 2 2" xfId="15380" xr:uid="{990140FD-B3FA-49D7-AE70-1E50E9336516}"/>
    <cellStyle name="Normal 8 3 3 7 3" xfId="11162" xr:uid="{4FE7B377-1CA6-4BB3-8D43-239AD4E3B367}"/>
    <cellStyle name="Normal 8 3 3 8" xfId="4865" xr:uid="{00000000-0005-0000-0000-0000A81D0000}"/>
    <cellStyle name="Normal 8 3 3 8 2" xfId="13315" xr:uid="{046166D8-4765-4B66-AA53-079FC99C62AE}"/>
    <cellStyle name="Normal 8 3 3 9" xfId="9097" xr:uid="{F0F5CE4B-8195-4EB0-9449-46DE20B70495}"/>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2 2 2" xfId="15875" xr:uid="{1870B0E5-BA02-4341-AAC3-625CF41301FE}"/>
    <cellStyle name="Normal 8 3 4 2 2 3" xfId="11657" xr:uid="{E72C1FD5-756F-4F12-BBE9-9FD86BA0E7E1}"/>
    <cellStyle name="Normal 8 3 4 2 3" xfId="5280" xr:uid="{00000000-0005-0000-0000-0000AD1D0000}"/>
    <cellStyle name="Normal 8 3 4 2 3 2" xfId="13730" xr:uid="{AA00D8FC-DD42-47FA-9CAE-082BC99CCACD}"/>
    <cellStyle name="Normal 8 3 4 2 4" xfId="9512" xr:uid="{748859F0-9DD0-44EE-BDD5-6F53E94594DA}"/>
    <cellStyle name="Normal 8 3 4 3" xfId="1386" xr:uid="{00000000-0005-0000-0000-0000AE1D0000}"/>
    <cellStyle name="Normal 8 3 4 3 2" xfId="3616" xr:uid="{00000000-0005-0000-0000-0000AF1D0000}"/>
    <cellStyle name="Normal 8 3 4 3 2 2" xfId="7838" xr:uid="{00000000-0005-0000-0000-0000B01D0000}"/>
    <cellStyle name="Normal 8 3 4 3 2 2 2" xfId="16288" xr:uid="{508F0367-40C9-4497-9D50-76F296E41CF6}"/>
    <cellStyle name="Normal 8 3 4 3 2 3" xfId="12070" xr:uid="{068E0946-B237-45DC-905C-660D4F489447}"/>
    <cellStyle name="Normal 8 3 4 3 3" xfId="5693" xr:uid="{00000000-0005-0000-0000-0000B11D0000}"/>
    <cellStyle name="Normal 8 3 4 3 3 2" xfId="14143" xr:uid="{44961D0A-A0AD-4D9C-BA1C-FE18F1C51F2C}"/>
    <cellStyle name="Normal 8 3 4 3 4" xfId="9925" xr:uid="{473C448B-F33A-4711-9AFE-0A396EAE7250}"/>
    <cellStyle name="Normal 8 3 4 4" xfId="1799" xr:uid="{00000000-0005-0000-0000-0000B21D0000}"/>
    <cellStyle name="Normal 8 3 4 4 2" xfId="4029" xr:uid="{00000000-0005-0000-0000-0000B31D0000}"/>
    <cellStyle name="Normal 8 3 4 4 2 2" xfId="8251" xr:uid="{00000000-0005-0000-0000-0000B41D0000}"/>
    <cellStyle name="Normal 8 3 4 4 2 2 2" xfId="16701" xr:uid="{72A4A704-8610-4E69-A588-475719D47F58}"/>
    <cellStyle name="Normal 8 3 4 4 2 3" xfId="12483" xr:uid="{A88FEF0D-7DC9-40C4-A769-AF9873A6EE5C}"/>
    <cellStyle name="Normal 8 3 4 4 3" xfId="6106" xr:uid="{00000000-0005-0000-0000-0000B51D0000}"/>
    <cellStyle name="Normal 8 3 4 4 3 2" xfId="14556" xr:uid="{2FD423A5-7CE4-4A7D-AAE2-F9F40B37E8DC}"/>
    <cellStyle name="Normal 8 3 4 4 4" xfId="10338" xr:uid="{29D2FEF7-30B2-4814-B521-FAF611FA14A2}"/>
    <cellStyle name="Normal 8 3 4 5" xfId="2213" xr:uid="{00000000-0005-0000-0000-0000B61D0000}"/>
    <cellStyle name="Normal 8 3 4 5 2" xfId="4442" xr:uid="{00000000-0005-0000-0000-0000B71D0000}"/>
    <cellStyle name="Normal 8 3 4 5 2 2" xfId="8664" xr:uid="{00000000-0005-0000-0000-0000B81D0000}"/>
    <cellStyle name="Normal 8 3 4 5 2 2 2" xfId="17114" xr:uid="{00CAED2F-9604-4708-9726-EF4CF925D33A}"/>
    <cellStyle name="Normal 8 3 4 5 2 3" xfId="12896" xr:uid="{42554952-8452-4317-A05A-B6EAD5E1E850}"/>
    <cellStyle name="Normal 8 3 4 5 3" xfId="6519" xr:uid="{00000000-0005-0000-0000-0000B91D0000}"/>
    <cellStyle name="Normal 8 3 4 5 3 2" xfId="14969" xr:uid="{550F93E1-3AD3-41B0-8A25-FE0585E2BF10}"/>
    <cellStyle name="Normal 8 3 4 5 4" xfId="10751" xr:uid="{2F108CFA-11F8-47CE-9653-2EA79DB3913C}"/>
    <cellStyle name="Normal 8 3 4 6" xfId="2649" xr:uid="{00000000-0005-0000-0000-0000BA1D0000}"/>
    <cellStyle name="Normal 8 3 4 6 2" xfId="6932" xr:uid="{00000000-0005-0000-0000-0000BB1D0000}"/>
    <cellStyle name="Normal 8 3 4 6 2 2" xfId="15382" xr:uid="{CBA0D687-CE49-485D-B710-1E7EDC19A023}"/>
    <cellStyle name="Normal 8 3 4 6 3" xfId="11164" xr:uid="{8106C80E-5C2C-421E-81A3-F2EE266DF2A6}"/>
    <cellStyle name="Normal 8 3 4 7" xfId="4867" xr:uid="{00000000-0005-0000-0000-0000BC1D0000}"/>
    <cellStyle name="Normal 8 3 4 7 2" xfId="13317" xr:uid="{70087202-B3E3-4EE4-9FF7-992AC2D795C7}"/>
    <cellStyle name="Normal 8 3 4 8" xfId="9099" xr:uid="{E9337EA2-2C77-4249-BB2F-D7ABE56E61A5}"/>
    <cellStyle name="Normal 8 3 5" xfId="962" xr:uid="{00000000-0005-0000-0000-0000BD1D0000}"/>
    <cellStyle name="Normal 8 3 5 2" xfId="3196" xr:uid="{00000000-0005-0000-0000-0000BE1D0000}"/>
    <cellStyle name="Normal 8 3 5 2 2" xfId="7418" xr:uid="{00000000-0005-0000-0000-0000BF1D0000}"/>
    <cellStyle name="Normal 8 3 5 2 2 2" xfId="15868" xr:uid="{3FC6EEA2-52C6-4286-92D7-907FBBFC4113}"/>
    <cellStyle name="Normal 8 3 5 2 3" xfId="11650" xr:uid="{872B93F2-18D4-4AA2-A1CD-5309D4332DB6}"/>
    <cellStyle name="Normal 8 3 5 3" xfId="5273" xr:uid="{00000000-0005-0000-0000-0000C01D0000}"/>
    <cellStyle name="Normal 8 3 5 3 2" xfId="13723" xr:uid="{E3FB1811-2624-4504-952D-85895BDBA0CB}"/>
    <cellStyle name="Normal 8 3 5 4" xfId="9505" xr:uid="{E06FC7D3-7476-4AAF-95D5-73DE9C11F56A}"/>
    <cellStyle name="Normal 8 3 6" xfId="1379" xr:uid="{00000000-0005-0000-0000-0000C11D0000}"/>
    <cellStyle name="Normal 8 3 6 2" xfId="3609" xr:uid="{00000000-0005-0000-0000-0000C21D0000}"/>
    <cellStyle name="Normal 8 3 6 2 2" xfId="7831" xr:uid="{00000000-0005-0000-0000-0000C31D0000}"/>
    <cellStyle name="Normal 8 3 6 2 2 2" xfId="16281" xr:uid="{5AFAAB73-995C-4CB6-A02F-79E138A30970}"/>
    <cellStyle name="Normal 8 3 6 2 3" xfId="12063" xr:uid="{1F551A86-9A65-4AC4-9446-55B38B57D7AE}"/>
    <cellStyle name="Normal 8 3 6 3" xfId="5686" xr:uid="{00000000-0005-0000-0000-0000C41D0000}"/>
    <cellStyle name="Normal 8 3 6 3 2" xfId="14136" xr:uid="{1D6F8320-9E55-415A-AA00-5717E2AA4CE7}"/>
    <cellStyle name="Normal 8 3 6 4" xfId="9918" xr:uid="{36C031F3-3B5D-4450-85F1-59330BE04CD7}"/>
    <cellStyle name="Normal 8 3 7" xfId="1792" xr:uid="{00000000-0005-0000-0000-0000C51D0000}"/>
    <cellStyle name="Normal 8 3 7 2" xfId="4022" xr:uid="{00000000-0005-0000-0000-0000C61D0000}"/>
    <cellStyle name="Normal 8 3 7 2 2" xfId="8244" xr:uid="{00000000-0005-0000-0000-0000C71D0000}"/>
    <cellStyle name="Normal 8 3 7 2 2 2" xfId="16694" xr:uid="{035499EE-098D-4B1C-8114-272CFE9F6718}"/>
    <cellStyle name="Normal 8 3 7 2 3" xfId="12476" xr:uid="{03D54332-C736-4E5A-B4D2-EB4DBCB4E27D}"/>
    <cellStyle name="Normal 8 3 7 3" xfId="6099" xr:uid="{00000000-0005-0000-0000-0000C81D0000}"/>
    <cellStyle name="Normal 8 3 7 3 2" xfId="14549" xr:uid="{E7543D3D-F491-4C2E-A783-4811CE342A01}"/>
    <cellStyle name="Normal 8 3 7 4" xfId="10331" xr:uid="{3F20AE5B-4ABA-481B-AA2B-EF378F9686E0}"/>
    <cellStyle name="Normal 8 3 8" xfId="2206" xr:uid="{00000000-0005-0000-0000-0000C91D0000}"/>
    <cellStyle name="Normal 8 3 8 2" xfId="4435" xr:uid="{00000000-0005-0000-0000-0000CA1D0000}"/>
    <cellStyle name="Normal 8 3 8 2 2" xfId="8657" xr:uid="{00000000-0005-0000-0000-0000CB1D0000}"/>
    <cellStyle name="Normal 8 3 8 2 2 2" xfId="17107" xr:uid="{61141233-7DB3-4847-BF1F-EC2BC3469819}"/>
    <cellStyle name="Normal 8 3 8 2 3" xfId="12889" xr:uid="{197D5BE7-0ED1-4364-879A-F70BED44B9CA}"/>
    <cellStyle name="Normal 8 3 8 3" xfId="6512" xr:uid="{00000000-0005-0000-0000-0000CC1D0000}"/>
    <cellStyle name="Normal 8 3 8 3 2" xfId="14962" xr:uid="{C45B675F-DD1D-4BBD-8236-F2B704405E60}"/>
    <cellStyle name="Normal 8 3 8 4" xfId="10744" xr:uid="{8DF69A73-867A-484D-8647-412602D4C00E}"/>
    <cellStyle name="Normal 8 3 9" xfId="2642" xr:uid="{00000000-0005-0000-0000-0000CD1D0000}"/>
    <cellStyle name="Normal 8 3 9 2" xfId="6925" xr:uid="{00000000-0005-0000-0000-0000CE1D0000}"/>
    <cellStyle name="Normal 8 3 9 2 2" xfId="15375" xr:uid="{BD153965-CD0D-4296-B5C8-E0C6EEE20BA3}"/>
    <cellStyle name="Normal 8 3 9 3" xfId="11157" xr:uid="{7352B21C-1DAD-4E50-88A8-6641F75A9210}"/>
    <cellStyle name="Normal 8 4" xfId="503" xr:uid="{00000000-0005-0000-0000-0000CF1D0000}"/>
    <cellStyle name="Normal 8 4 10" xfId="9100" xr:uid="{5BAC304B-9B07-4DCB-9B13-84BFAD13F821}"/>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2 2 2" xfId="15878" xr:uid="{F20E11BA-13B8-47E9-92D7-C497526BD628}"/>
    <cellStyle name="Normal 8 4 2 2 2 2 3" xfId="11660" xr:uid="{D816984B-E61D-4E16-8457-087D6A2661D7}"/>
    <cellStyle name="Normal 8 4 2 2 2 3" xfId="5283" xr:uid="{00000000-0005-0000-0000-0000D51D0000}"/>
    <cellStyle name="Normal 8 4 2 2 2 3 2" xfId="13733" xr:uid="{F3B48BD0-B6E4-4A8F-A3BD-9BEAF6A90AA9}"/>
    <cellStyle name="Normal 8 4 2 2 2 4" xfId="9515" xr:uid="{168225CC-1E08-4692-9C40-0CEF1C70017C}"/>
    <cellStyle name="Normal 8 4 2 2 3" xfId="1389" xr:uid="{00000000-0005-0000-0000-0000D61D0000}"/>
    <cellStyle name="Normal 8 4 2 2 3 2" xfId="3619" xr:uid="{00000000-0005-0000-0000-0000D71D0000}"/>
    <cellStyle name="Normal 8 4 2 2 3 2 2" xfId="7841" xr:uid="{00000000-0005-0000-0000-0000D81D0000}"/>
    <cellStyle name="Normal 8 4 2 2 3 2 2 2" xfId="16291" xr:uid="{78F5E0FD-0C1A-41D1-A9AC-7D55E9B9E700}"/>
    <cellStyle name="Normal 8 4 2 2 3 2 3" xfId="12073" xr:uid="{EFE85C14-91A1-44C7-8F0B-599194DF2344}"/>
    <cellStyle name="Normal 8 4 2 2 3 3" xfId="5696" xr:uid="{00000000-0005-0000-0000-0000D91D0000}"/>
    <cellStyle name="Normal 8 4 2 2 3 3 2" xfId="14146" xr:uid="{BCDD57CC-2313-4500-9F9F-F4069C745302}"/>
    <cellStyle name="Normal 8 4 2 2 3 4" xfId="9928" xr:uid="{69357C7E-8630-4C54-B64A-B086AE4247AE}"/>
    <cellStyle name="Normal 8 4 2 2 4" xfId="1802" xr:uid="{00000000-0005-0000-0000-0000DA1D0000}"/>
    <cellStyle name="Normal 8 4 2 2 4 2" xfId="4032" xr:uid="{00000000-0005-0000-0000-0000DB1D0000}"/>
    <cellStyle name="Normal 8 4 2 2 4 2 2" xfId="8254" xr:uid="{00000000-0005-0000-0000-0000DC1D0000}"/>
    <cellStyle name="Normal 8 4 2 2 4 2 2 2" xfId="16704" xr:uid="{C72C18E0-BFF7-4FE8-8224-8445D06187D9}"/>
    <cellStyle name="Normal 8 4 2 2 4 2 3" xfId="12486" xr:uid="{D878B7D7-DC5D-4068-9BFE-F6F61CBA2C03}"/>
    <cellStyle name="Normal 8 4 2 2 4 3" xfId="6109" xr:uid="{00000000-0005-0000-0000-0000DD1D0000}"/>
    <cellStyle name="Normal 8 4 2 2 4 3 2" xfId="14559" xr:uid="{E472B772-2B72-4443-BB77-8339C3CF8EC7}"/>
    <cellStyle name="Normal 8 4 2 2 4 4" xfId="10341" xr:uid="{C3C4BA81-46D3-4961-80EF-627482D8A4B0}"/>
    <cellStyle name="Normal 8 4 2 2 5" xfId="2216" xr:uid="{00000000-0005-0000-0000-0000DE1D0000}"/>
    <cellStyle name="Normal 8 4 2 2 5 2" xfId="4445" xr:uid="{00000000-0005-0000-0000-0000DF1D0000}"/>
    <cellStyle name="Normal 8 4 2 2 5 2 2" xfId="8667" xr:uid="{00000000-0005-0000-0000-0000E01D0000}"/>
    <cellStyle name="Normal 8 4 2 2 5 2 2 2" xfId="17117" xr:uid="{5C791E65-C050-4A9A-94F6-2382A05DA408}"/>
    <cellStyle name="Normal 8 4 2 2 5 2 3" xfId="12899" xr:uid="{948FC382-9B6D-48B2-9CDF-A7EFBACE535E}"/>
    <cellStyle name="Normal 8 4 2 2 5 3" xfId="6522" xr:uid="{00000000-0005-0000-0000-0000E11D0000}"/>
    <cellStyle name="Normal 8 4 2 2 5 3 2" xfId="14972" xr:uid="{F71D1FEF-3573-4D73-A696-AEB802FE8FBD}"/>
    <cellStyle name="Normal 8 4 2 2 5 4" xfId="10754" xr:uid="{150F8CC4-E426-4906-AFC0-BD04C2BC7A29}"/>
    <cellStyle name="Normal 8 4 2 2 6" xfId="2652" xr:uid="{00000000-0005-0000-0000-0000E21D0000}"/>
    <cellStyle name="Normal 8 4 2 2 6 2" xfId="6935" xr:uid="{00000000-0005-0000-0000-0000E31D0000}"/>
    <cellStyle name="Normal 8 4 2 2 6 2 2" xfId="15385" xr:uid="{A8C0DFC9-ADA9-4372-850D-670E857B7E79}"/>
    <cellStyle name="Normal 8 4 2 2 6 3" xfId="11167" xr:uid="{595D396C-CF89-49E5-AC24-117C5D15332E}"/>
    <cellStyle name="Normal 8 4 2 2 7" xfId="4870" xr:uid="{00000000-0005-0000-0000-0000E41D0000}"/>
    <cellStyle name="Normal 8 4 2 2 7 2" xfId="13320" xr:uid="{4A5CA741-EE4A-4BD0-8D1F-70C4C39D3612}"/>
    <cellStyle name="Normal 8 4 2 2 8" xfId="9102" xr:uid="{A1D62730-EC88-4A2D-B0C8-136912B56794}"/>
    <cellStyle name="Normal 8 4 2 3" xfId="971" xr:uid="{00000000-0005-0000-0000-0000E51D0000}"/>
    <cellStyle name="Normal 8 4 2 3 2" xfId="3205" xr:uid="{00000000-0005-0000-0000-0000E61D0000}"/>
    <cellStyle name="Normal 8 4 2 3 2 2" xfId="7427" xr:uid="{00000000-0005-0000-0000-0000E71D0000}"/>
    <cellStyle name="Normal 8 4 2 3 2 2 2" xfId="15877" xr:uid="{10DEC978-18C6-408B-8EED-FD7A325CFFB2}"/>
    <cellStyle name="Normal 8 4 2 3 2 3" xfId="11659" xr:uid="{0475DC90-6FE1-4526-BD03-9C2BC14F0A96}"/>
    <cellStyle name="Normal 8 4 2 3 3" xfId="5282" xr:uid="{00000000-0005-0000-0000-0000E81D0000}"/>
    <cellStyle name="Normal 8 4 2 3 3 2" xfId="13732" xr:uid="{ECD35A3E-E344-45C3-B048-7ED6D2CE3442}"/>
    <cellStyle name="Normal 8 4 2 3 4" xfId="9514" xr:uid="{47C08DCB-2A4D-430D-94A3-78627DE11130}"/>
    <cellStyle name="Normal 8 4 2 4" xfId="1388" xr:uid="{00000000-0005-0000-0000-0000E91D0000}"/>
    <cellStyle name="Normal 8 4 2 4 2" xfId="3618" xr:uid="{00000000-0005-0000-0000-0000EA1D0000}"/>
    <cellStyle name="Normal 8 4 2 4 2 2" xfId="7840" xr:uid="{00000000-0005-0000-0000-0000EB1D0000}"/>
    <cellStyle name="Normal 8 4 2 4 2 2 2" xfId="16290" xr:uid="{8236AF19-EDA3-4CFC-88D2-757DAF68E025}"/>
    <cellStyle name="Normal 8 4 2 4 2 3" xfId="12072" xr:uid="{238EFAD7-8CB3-4D2D-BE47-4C51952C3A2A}"/>
    <cellStyle name="Normal 8 4 2 4 3" xfId="5695" xr:uid="{00000000-0005-0000-0000-0000EC1D0000}"/>
    <cellStyle name="Normal 8 4 2 4 3 2" xfId="14145" xr:uid="{9C061C95-0767-4345-9466-0D91EC4FC628}"/>
    <cellStyle name="Normal 8 4 2 4 4" xfId="9927" xr:uid="{B027B377-9E87-475D-AF6D-E01BC0BA5F5A}"/>
    <cellStyle name="Normal 8 4 2 5" xfId="1801" xr:uid="{00000000-0005-0000-0000-0000ED1D0000}"/>
    <cellStyle name="Normal 8 4 2 5 2" xfId="4031" xr:uid="{00000000-0005-0000-0000-0000EE1D0000}"/>
    <cellStyle name="Normal 8 4 2 5 2 2" xfId="8253" xr:uid="{00000000-0005-0000-0000-0000EF1D0000}"/>
    <cellStyle name="Normal 8 4 2 5 2 2 2" xfId="16703" xr:uid="{AB026AA4-5EED-4321-B8DA-9F39B65A2B74}"/>
    <cellStyle name="Normal 8 4 2 5 2 3" xfId="12485" xr:uid="{AFAD4645-2064-4882-B952-092222E39254}"/>
    <cellStyle name="Normal 8 4 2 5 3" xfId="6108" xr:uid="{00000000-0005-0000-0000-0000F01D0000}"/>
    <cellStyle name="Normal 8 4 2 5 3 2" xfId="14558" xr:uid="{09785B37-1EF5-4E74-AC21-F8109B1232D2}"/>
    <cellStyle name="Normal 8 4 2 5 4" xfId="10340" xr:uid="{58DAC6E0-4C2A-4EAA-A405-ECDFE88882E6}"/>
    <cellStyle name="Normal 8 4 2 6" xfId="2215" xr:uid="{00000000-0005-0000-0000-0000F11D0000}"/>
    <cellStyle name="Normal 8 4 2 6 2" xfId="4444" xr:uid="{00000000-0005-0000-0000-0000F21D0000}"/>
    <cellStyle name="Normal 8 4 2 6 2 2" xfId="8666" xr:uid="{00000000-0005-0000-0000-0000F31D0000}"/>
    <cellStyle name="Normal 8 4 2 6 2 2 2" xfId="17116" xr:uid="{F9F75155-D839-43D7-AF5E-1759A5A8CC58}"/>
    <cellStyle name="Normal 8 4 2 6 2 3" xfId="12898" xr:uid="{573B4490-2421-41F0-842F-A2F1F67325CF}"/>
    <cellStyle name="Normal 8 4 2 6 3" xfId="6521" xr:uid="{00000000-0005-0000-0000-0000F41D0000}"/>
    <cellStyle name="Normal 8 4 2 6 3 2" xfId="14971" xr:uid="{6F9AD203-DEAA-4A64-BFCB-4988AD6164BF}"/>
    <cellStyle name="Normal 8 4 2 6 4" xfId="10753" xr:uid="{C5BD6308-3642-42F9-A150-847C789B2C90}"/>
    <cellStyle name="Normal 8 4 2 7" xfId="2651" xr:uid="{00000000-0005-0000-0000-0000F51D0000}"/>
    <cellStyle name="Normal 8 4 2 7 2" xfId="6934" xr:uid="{00000000-0005-0000-0000-0000F61D0000}"/>
    <cellStyle name="Normal 8 4 2 7 2 2" xfId="15384" xr:uid="{68BEC6C0-6239-40C1-A57E-172A8D494756}"/>
    <cellStyle name="Normal 8 4 2 7 3" xfId="11166" xr:uid="{A9C760A5-1CF8-4A4C-A30A-C05FB6EF1531}"/>
    <cellStyle name="Normal 8 4 2 8" xfId="4869" xr:uid="{00000000-0005-0000-0000-0000F71D0000}"/>
    <cellStyle name="Normal 8 4 2 8 2" xfId="13319" xr:uid="{0E3713B7-8E8D-4C32-9AB5-0FAC41E29F9B}"/>
    <cellStyle name="Normal 8 4 2 9" xfId="9101" xr:uid="{9CEAACAE-9252-4497-98C6-D8845FD153E7}"/>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2 2 2" xfId="15879" xr:uid="{6CE7721A-3F37-4105-A09C-4A7DC3D5E189}"/>
    <cellStyle name="Normal 8 4 3 2 2 3" xfId="11661" xr:uid="{AD24E9DC-CBB8-47FA-919F-613D7CB723B9}"/>
    <cellStyle name="Normal 8 4 3 2 3" xfId="5284" xr:uid="{00000000-0005-0000-0000-0000FC1D0000}"/>
    <cellStyle name="Normal 8 4 3 2 3 2" xfId="13734" xr:uid="{CBF9AC21-38DA-4DB0-B7EA-5A7D4B93FAD4}"/>
    <cellStyle name="Normal 8 4 3 2 4" xfId="9516" xr:uid="{C2002FE5-6D14-48AD-9A8B-12A421D63506}"/>
    <cellStyle name="Normal 8 4 3 3" xfId="1390" xr:uid="{00000000-0005-0000-0000-0000FD1D0000}"/>
    <cellStyle name="Normal 8 4 3 3 2" xfId="3620" xr:uid="{00000000-0005-0000-0000-0000FE1D0000}"/>
    <cellStyle name="Normal 8 4 3 3 2 2" xfId="7842" xr:uid="{00000000-0005-0000-0000-0000FF1D0000}"/>
    <cellStyle name="Normal 8 4 3 3 2 2 2" xfId="16292" xr:uid="{64630E38-110F-4402-8B6F-5ADB539C1C75}"/>
    <cellStyle name="Normal 8 4 3 3 2 3" xfId="12074" xr:uid="{9FF15DDC-FC40-4015-9652-86807BBCE8E8}"/>
    <cellStyle name="Normal 8 4 3 3 3" xfId="5697" xr:uid="{00000000-0005-0000-0000-0000001E0000}"/>
    <cellStyle name="Normal 8 4 3 3 3 2" xfId="14147" xr:uid="{8369688F-1AFB-4536-9735-89FC952FBCC1}"/>
    <cellStyle name="Normal 8 4 3 3 4" xfId="9929" xr:uid="{7A6D8C45-733E-4EA1-9F11-70354FCD37C5}"/>
    <cellStyle name="Normal 8 4 3 4" xfId="1803" xr:uid="{00000000-0005-0000-0000-0000011E0000}"/>
    <cellStyle name="Normal 8 4 3 4 2" xfId="4033" xr:uid="{00000000-0005-0000-0000-0000021E0000}"/>
    <cellStyle name="Normal 8 4 3 4 2 2" xfId="8255" xr:uid="{00000000-0005-0000-0000-0000031E0000}"/>
    <cellStyle name="Normal 8 4 3 4 2 2 2" xfId="16705" xr:uid="{AB9448EC-545E-4CAD-8B0B-10F1E46E500C}"/>
    <cellStyle name="Normal 8 4 3 4 2 3" xfId="12487" xr:uid="{00DF73F1-BD82-4C59-9243-E18D2C728F10}"/>
    <cellStyle name="Normal 8 4 3 4 3" xfId="6110" xr:uid="{00000000-0005-0000-0000-0000041E0000}"/>
    <cellStyle name="Normal 8 4 3 4 3 2" xfId="14560" xr:uid="{9DFCD943-92AA-465F-A3DD-1B7434CEEE1D}"/>
    <cellStyle name="Normal 8 4 3 4 4" xfId="10342" xr:uid="{86F59C27-4C50-425F-A518-57E618D8BDF0}"/>
    <cellStyle name="Normal 8 4 3 5" xfId="2217" xr:uid="{00000000-0005-0000-0000-0000051E0000}"/>
    <cellStyle name="Normal 8 4 3 5 2" xfId="4446" xr:uid="{00000000-0005-0000-0000-0000061E0000}"/>
    <cellStyle name="Normal 8 4 3 5 2 2" xfId="8668" xr:uid="{00000000-0005-0000-0000-0000071E0000}"/>
    <cellStyle name="Normal 8 4 3 5 2 2 2" xfId="17118" xr:uid="{F9716C6E-28D8-4DC9-B1D9-AB617C65B7EA}"/>
    <cellStyle name="Normal 8 4 3 5 2 3" xfId="12900" xr:uid="{F6DDAE3F-6622-42FA-8ACB-4FABF1CB9DE1}"/>
    <cellStyle name="Normal 8 4 3 5 3" xfId="6523" xr:uid="{00000000-0005-0000-0000-0000081E0000}"/>
    <cellStyle name="Normal 8 4 3 5 3 2" xfId="14973" xr:uid="{31297A67-FD57-47EC-A30C-21C8221BF7CB}"/>
    <cellStyle name="Normal 8 4 3 5 4" xfId="10755" xr:uid="{FB4CF7CD-F5AD-4DC4-829C-262D6A3B2B4C}"/>
    <cellStyle name="Normal 8 4 3 6" xfId="2653" xr:uid="{00000000-0005-0000-0000-0000091E0000}"/>
    <cellStyle name="Normal 8 4 3 6 2" xfId="6936" xr:uid="{00000000-0005-0000-0000-00000A1E0000}"/>
    <cellStyle name="Normal 8 4 3 6 2 2" xfId="15386" xr:uid="{19EB01C4-6F72-431F-91D9-BE970F455D77}"/>
    <cellStyle name="Normal 8 4 3 6 3" xfId="11168" xr:uid="{03566A2F-B0B4-4892-888A-559EA660DB21}"/>
    <cellStyle name="Normal 8 4 3 7" xfId="4871" xr:uid="{00000000-0005-0000-0000-00000B1E0000}"/>
    <cellStyle name="Normal 8 4 3 7 2" xfId="13321" xr:uid="{277EB166-0CFF-4B7A-BBF7-EE40151B65F4}"/>
    <cellStyle name="Normal 8 4 3 8" xfId="9103" xr:uid="{A078776C-F21B-49D3-9C9B-DDBC7E821338}"/>
    <cellStyle name="Normal 8 4 4" xfId="970" xr:uid="{00000000-0005-0000-0000-00000C1E0000}"/>
    <cellStyle name="Normal 8 4 4 2" xfId="3204" xr:uid="{00000000-0005-0000-0000-00000D1E0000}"/>
    <cellStyle name="Normal 8 4 4 2 2" xfId="7426" xr:uid="{00000000-0005-0000-0000-00000E1E0000}"/>
    <cellStyle name="Normal 8 4 4 2 2 2" xfId="15876" xr:uid="{3EA83B7A-7565-470A-AF84-F84388B4393E}"/>
    <cellStyle name="Normal 8 4 4 2 3" xfId="11658" xr:uid="{A4EBD1B4-28F3-4E5D-8200-3337B464AB39}"/>
    <cellStyle name="Normal 8 4 4 3" xfId="5281" xr:uid="{00000000-0005-0000-0000-00000F1E0000}"/>
    <cellStyle name="Normal 8 4 4 3 2" xfId="13731" xr:uid="{91E47DE7-8D0F-4B90-9FFA-AC8B8712BA46}"/>
    <cellStyle name="Normal 8 4 4 4" xfId="9513" xr:uid="{33179E42-C840-42DB-BA8F-E93922C20567}"/>
    <cellStyle name="Normal 8 4 5" xfId="1387" xr:uid="{00000000-0005-0000-0000-0000101E0000}"/>
    <cellStyle name="Normal 8 4 5 2" xfId="3617" xr:uid="{00000000-0005-0000-0000-0000111E0000}"/>
    <cellStyle name="Normal 8 4 5 2 2" xfId="7839" xr:uid="{00000000-0005-0000-0000-0000121E0000}"/>
    <cellStyle name="Normal 8 4 5 2 2 2" xfId="16289" xr:uid="{37F8F36A-AC90-42AA-9FDD-304ADBFCF1EB}"/>
    <cellStyle name="Normal 8 4 5 2 3" xfId="12071" xr:uid="{C04FFD4E-059A-490A-8185-3E59BDFC6CEE}"/>
    <cellStyle name="Normal 8 4 5 3" xfId="5694" xr:uid="{00000000-0005-0000-0000-0000131E0000}"/>
    <cellStyle name="Normal 8 4 5 3 2" xfId="14144" xr:uid="{E45D493D-B13E-4D85-80C4-C81864370EA8}"/>
    <cellStyle name="Normal 8 4 5 4" xfId="9926" xr:uid="{0DC79D85-599B-4BCD-8753-85AE7F03B50A}"/>
    <cellStyle name="Normal 8 4 6" xfId="1800" xr:uid="{00000000-0005-0000-0000-0000141E0000}"/>
    <cellStyle name="Normal 8 4 6 2" xfId="4030" xr:uid="{00000000-0005-0000-0000-0000151E0000}"/>
    <cellStyle name="Normal 8 4 6 2 2" xfId="8252" xr:uid="{00000000-0005-0000-0000-0000161E0000}"/>
    <cellStyle name="Normal 8 4 6 2 2 2" xfId="16702" xr:uid="{A06B6BB5-9C31-4B0A-9718-87026D7D711F}"/>
    <cellStyle name="Normal 8 4 6 2 3" xfId="12484" xr:uid="{E50F9F03-54BA-4D09-AD70-6ADDE28949F8}"/>
    <cellStyle name="Normal 8 4 6 3" xfId="6107" xr:uid="{00000000-0005-0000-0000-0000171E0000}"/>
    <cellStyle name="Normal 8 4 6 3 2" xfId="14557" xr:uid="{C8655995-D976-4C78-96A2-74C826431A58}"/>
    <cellStyle name="Normal 8 4 6 4" xfId="10339" xr:uid="{2E599ED4-3233-4084-A349-CB8BAC5C8FB6}"/>
    <cellStyle name="Normal 8 4 7" xfId="2214" xr:uid="{00000000-0005-0000-0000-0000181E0000}"/>
    <cellStyle name="Normal 8 4 7 2" xfId="4443" xr:uid="{00000000-0005-0000-0000-0000191E0000}"/>
    <cellStyle name="Normal 8 4 7 2 2" xfId="8665" xr:uid="{00000000-0005-0000-0000-00001A1E0000}"/>
    <cellStyle name="Normal 8 4 7 2 2 2" xfId="17115" xr:uid="{2E7055A4-3A35-45B5-9235-FC68461B0529}"/>
    <cellStyle name="Normal 8 4 7 2 3" xfId="12897" xr:uid="{3995775B-5C49-42F4-9A27-F997FE64CC29}"/>
    <cellStyle name="Normal 8 4 7 3" xfId="6520" xr:uid="{00000000-0005-0000-0000-00001B1E0000}"/>
    <cellStyle name="Normal 8 4 7 3 2" xfId="14970" xr:uid="{A5D89B5E-BC8C-4A42-93A7-FF1945B0A854}"/>
    <cellStyle name="Normal 8 4 7 4" xfId="10752" xr:uid="{F422E5E4-CFEB-4888-8A1B-FB34881F3A2C}"/>
    <cellStyle name="Normal 8 4 8" xfId="2650" xr:uid="{00000000-0005-0000-0000-00001C1E0000}"/>
    <cellStyle name="Normal 8 4 8 2" xfId="6933" xr:uid="{00000000-0005-0000-0000-00001D1E0000}"/>
    <cellStyle name="Normal 8 4 8 2 2" xfId="15383" xr:uid="{411E0D3A-B229-4935-836F-5AD0F9140A22}"/>
    <cellStyle name="Normal 8 4 8 3" xfId="11165" xr:uid="{10FCAD1E-958E-4CC9-9431-F2551D34631B}"/>
    <cellStyle name="Normal 8 4 9" xfId="4868" xr:uid="{00000000-0005-0000-0000-00001E1E0000}"/>
    <cellStyle name="Normal 8 4 9 2" xfId="13318" xr:uid="{4B3056AF-2D13-4969-A6FD-851A3938EDB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2 2 2" xfId="15881" xr:uid="{8B822CA0-4589-4ACA-B5DA-5B7255FEFCDA}"/>
    <cellStyle name="Normal 8 5 2 2 2 3" xfId="11663" xr:uid="{5D6BDED3-046D-479B-92FC-9EDC3B15B656}"/>
    <cellStyle name="Normal 8 5 2 2 3" xfId="5286" xr:uid="{00000000-0005-0000-0000-0000241E0000}"/>
    <cellStyle name="Normal 8 5 2 2 3 2" xfId="13736" xr:uid="{7A9195D9-2046-492C-9998-9633E3D807B9}"/>
    <cellStyle name="Normal 8 5 2 2 4" xfId="9518" xr:uid="{2C14F333-B901-4DB2-8826-B8D3C855E5CE}"/>
    <cellStyle name="Normal 8 5 2 3" xfId="1392" xr:uid="{00000000-0005-0000-0000-0000251E0000}"/>
    <cellStyle name="Normal 8 5 2 3 2" xfId="3622" xr:uid="{00000000-0005-0000-0000-0000261E0000}"/>
    <cellStyle name="Normal 8 5 2 3 2 2" xfId="7844" xr:uid="{00000000-0005-0000-0000-0000271E0000}"/>
    <cellStyle name="Normal 8 5 2 3 2 2 2" xfId="16294" xr:uid="{689C3101-782B-4318-8730-C8F7E9038285}"/>
    <cellStyle name="Normal 8 5 2 3 2 3" xfId="12076" xr:uid="{7F5973C4-9B31-45D0-8EC9-B09020977BFF}"/>
    <cellStyle name="Normal 8 5 2 3 3" xfId="5699" xr:uid="{00000000-0005-0000-0000-0000281E0000}"/>
    <cellStyle name="Normal 8 5 2 3 3 2" xfId="14149" xr:uid="{BC2BF5C4-63AF-4455-B399-4BEAC64EF2B5}"/>
    <cellStyle name="Normal 8 5 2 3 4" xfId="9931" xr:uid="{E766FD0C-9913-496B-A270-EF493D71DA9F}"/>
    <cellStyle name="Normal 8 5 2 4" xfId="1805" xr:uid="{00000000-0005-0000-0000-0000291E0000}"/>
    <cellStyle name="Normal 8 5 2 4 2" xfId="4035" xr:uid="{00000000-0005-0000-0000-00002A1E0000}"/>
    <cellStyle name="Normal 8 5 2 4 2 2" xfId="8257" xr:uid="{00000000-0005-0000-0000-00002B1E0000}"/>
    <cellStyle name="Normal 8 5 2 4 2 2 2" xfId="16707" xr:uid="{B2CB06C7-533E-4EB6-897C-1AEDF029BA2A}"/>
    <cellStyle name="Normal 8 5 2 4 2 3" xfId="12489" xr:uid="{515A94E3-E079-43D9-A600-BEB8C95CA9F8}"/>
    <cellStyle name="Normal 8 5 2 4 3" xfId="6112" xr:uid="{00000000-0005-0000-0000-00002C1E0000}"/>
    <cellStyle name="Normal 8 5 2 4 3 2" xfId="14562" xr:uid="{3E3D7D11-0061-4062-B0E8-E234139A926C}"/>
    <cellStyle name="Normal 8 5 2 4 4" xfId="10344" xr:uid="{F0FCE3A2-46CA-425B-8990-589C7EC4A001}"/>
    <cellStyle name="Normal 8 5 2 5" xfId="2219" xr:uid="{00000000-0005-0000-0000-00002D1E0000}"/>
    <cellStyle name="Normal 8 5 2 5 2" xfId="4448" xr:uid="{00000000-0005-0000-0000-00002E1E0000}"/>
    <cellStyle name="Normal 8 5 2 5 2 2" xfId="8670" xr:uid="{00000000-0005-0000-0000-00002F1E0000}"/>
    <cellStyle name="Normal 8 5 2 5 2 2 2" xfId="17120" xr:uid="{0FF73A78-0973-4189-8B2D-60E4C21FC7BC}"/>
    <cellStyle name="Normal 8 5 2 5 2 3" xfId="12902" xr:uid="{5F214063-FA9D-4C17-909B-2B06810CEBFF}"/>
    <cellStyle name="Normal 8 5 2 5 3" xfId="6525" xr:uid="{00000000-0005-0000-0000-0000301E0000}"/>
    <cellStyle name="Normal 8 5 2 5 3 2" xfId="14975" xr:uid="{BD9BCC03-C3C8-4988-AA3C-0F832C0CCF84}"/>
    <cellStyle name="Normal 8 5 2 5 4" xfId="10757" xr:uid="{71D7D64D-363A-4FED-83D5-1CEF09988CF4}"/>
    <cellStyle name="Normal 8 5 2 6" xfId="2655" xr:uid="{00000000-0005-0000-0000-0000311E0000}"/>
    <cellStyle name="Normal 8 5 2 6 2" xfId="6938" xr:uid="{00000000-0005-0000-0000-0000321E0000}"/>
    <cellStyle name="Normal 8 5 2 6 2 2" xfId="15388" xr:uid="{C467ED3B-5B70-419F-9DBD-187485AD9468}"/>
    <cellStyle name="Normal 8 5 2 6 3" xfId="11170" xr:uid="{B450718E-8A24-4501-A0AD-E7527543771E}"/>
    <cellStyle name="Normal 8 5 2 7" xfId="4873" xr:uid="{00000000-0005-0000-0000-0000331E0000}"/>
    <cellStyle name="Normal 8 5 2 7 2" xfId="13323" xr:uid="{FE4A0D89-B70C-4D46-B32D-11F3151BB534}"/>
    <cellStyle name="Normal 8 5 2 8" xfId="9105" xr:uid="{25CA4A65-CE3C-480A-8C28-BC8BF90D3A26}"/>
    <cellStyle name="Normal 8 5 3" xfId="974" xr:uid="{00000000-0005-0000-0000-0000341E0000}"/>
    <cellStyle name="Normal 8 5 3 2" xfId="3208" xr:uid="{00000000-0005-0000-0000-0000351E0000}"/>
    <cellStyle name="Normal 8 5 3 2 2" xfId="7430" xr:uid="{00000000-0005-0000-0000-0000361E0000}"/>
    <cellStyle name="Normal 8 5 3 2 2 2" xfId="15880" xr:uid="{A1B7E201-D2E7-4FD7-9CF3-8865BC558632}"/>
    <cellStyle name="Normal 8 5 3 2 3" xfId="11662" xr:uid="{AF1ED147-7C8D-42C1-B5BA-BDD30BA6C27A}"/>
    <cellStyle name="Normal 8 5 3 3" xfId="5285" xr:uid="{00000000-0005-0000-0000-0000371E0000}"/>
    <cellStyle name="Normal 8 5 3 3 2" xfId="13735" xr:uid="{AEA938F1-7467-452E-AD43-34EC2C34F085}"/>
    <cellStyle name="Normal 8 5 3 4" xfId="9517" xr:uid="{21DB0302-AD36-4215-8467-3192C664318D}"/>
    <cellStyle name="Normal 8 5 4" xfId="1391" xr:uid="{00000000-0005-0000-0000-0000381E0000}"/>
    <cellStyle name="Normal 8 5 4 2" xfId="3621" xr:uid="{00000000-0005-0000-0000-0000391E0000}"/>
    <cellStyle name="Normal 8 5 4 2 2" xfId="7843" xr:uid="{00000000-0005-0000-0000-00003A1E0000}"/>
    <cellStyle name="Normal 8 5 4 2 2 2" xfId="16293" xr:uid="{B1C0A750-8705-4E8F-BB16-55D741B5FD12}"/>
    <cellStyle name="Normal 8 5 4 2 3" xfId="12075" xr:uid="{AAF7F862-6A2A-4FA7-9C27-9B84ED5031FD}"/>
    <cellStyle name="Normal 8 5 4 3" xfId="5698" xr:uid="{00000000-0005-0000-0000-00003B1E0000}"/>
    <cellStyle name="Normal 8 5 4 3 2" xfId="14148" xr:uid="{4A057F7A-FAE6-43A8-9BBA-54031A50A2A0}"/>
    <cellStyle name="Normal 8 5 4 4" xfId="9930" xr:uid="{8C344B77-90F2-4FBE-A0A3-4E81300D3A4F}"/>
    <cellStyle name="Normal 8 5 5" xfId="1804" xr:uid="{00000000-0005-0000-0000-00003C1E0000}"/>
    <cellStyle name="Normal 8 5 5 2" xfId="4034" xr:uid="{00000000-0005-0000-0000-00003D1E0000}"/>
    <cellStyle name="Normal 8 5 5 2 2" xfId="8256" xr:uid="{00000000-0005-0000-0000-00003E1E0000}"/>
    <cellStyle name="Normal 8 5 5 2 2 2" xfId="16706" xr:uid="{5768A368-2AB0-4A0B-AFB0-A753EFEAF18C}"/>
    <cellStyle name="Normal 8 5 5 2 3" xfId="12488" xr:uid="{05770737-35EC-41E6-AF75-6AD4E262F207}"/>
    <cellStyle name="Normal 8 5 5 3" xfId="6111" xr:uid="{00000000-0005-0000-0000-00003F1E0000}"/>
    <cellStyle name="Normal 8 5 5 3 2" xfId="14561" xr:uid="{F3A60830-B8DA-41E7-9BFA-D28C7D123A55}"/>
    <cellStyle name="Normal 8 5 5 4" xfId="10343" xr:uid="{0D92520D-FC9C-4703-A783-EBB2B7154B82}"/>
    <cellStyle name="Normal 8 5 6" xfId="2218" xr:uid="{00000000-0005-0000-0000-0000401E0000}"/>
    <cellStyle name="Normal 8 5 6 2" xfId="4447" xr:uid="{00000000-0005-0000-0000-0000411E0000}"/>
    <cellStyle name="Normal 8 5 6 2 2" xfId="8669" xr:uid="{00000000-0005-0000-0000-0000421E0000}"/>
    <cellStyle name="Normal 8 5 6 2 2 2" xfId="17119" xr:uid="{DCC95033-35E8-4862-9859-B78C733EB5A6}"/>
    <cellStyle name="Normal 8 5 6 2 3" xfId="12901" xr:uid="{2FE06F16-F96F-44F7-B02B-38B0DDE3950B}"/>
    <cellStyle name="Normal 8 5 6 3" xfId="6524" xr:uid="{00000000-0005-0000-0000-0000431E0000}"/>
    <cellStyle name="Normal 8 5 6 3 2" xfId="14974" xr:uid="{A80F78A5-4F72-489F-B0AE-1EBCBF94409E}"/>
    <cellStyle name="Normal 8 5 6 4" xfId="10756" xr:uid="{30176407-DBB4-4842-A2A0-9F8FFC32073F}"/>
    <cellStyle name="Normal 8 5 7" xfId="2654" xr:uid="{00000000-0005-0000-0000-0000441E0000}"/>
    <cellStyle name="Normal 8 5 7 2" xfId="6937" xr:uid="{00000000-0005-0000-0000-0000451E0000}"/>
    <cellStyle name="Normal 8 5 7 2 2" xfId="15387" xr:uid="{509B853C-2C38-4921-8F19-4A0CF45C913A}"/>
    <cellStyle name="Normal 8 5 7 3" xfId="11169" xr:uid="{423A6FA7-639F-43C8-AAAD-8D7354974CCB}"/>
    <cellStyle name="Normal 8 5 8" xfId="4872" xr:uid="{00000000-0005-0000-0000-0000461E0000}"/>
    <cellStyle name="Normal 8 5 8 2" xfId="13322" xr:uid="{610E6719-77A1-4734-A949-0A69808D2723}"/>
    <cellStyle name="Normal 8 5 9" xfId="9104" xr:uid="{62F95605-EECA-48DA-A54D-8E302C10731B}"/>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2 2 2" xfId="15882" xr:uid="{00DAF175-1E7A-4B43-94EA-9D9479A01800}"/>
    <cellStyle name="Normal 8 6 2 2 3" xfId="11664" xr:uid="{DD3735EF-A147-4571-9848-D7175D58430D}"/>
    <cellStyle name="Normal 8 6 2 3" xfId="5287" xr:uid="{00000000-0005-0000-0000-00004B1E0000}"/>
    <cellStyle name="Normal 8 6 2 3 2" xfId="13737" xr:uid="{D23C61C5-E907-4A2D-9A56-BB01212873F3}"/>
    <cellStyle name="Normal 8 6 2 4" xfId="9519" xr:uid="{F08E43F9-472B-4D8B-AEC7-4935A6E05CEC}"/>
    <cellStyle name="Normal 8 6 3" xfId="1393" xr:uid="{00000000-0005-0000-0000-00004C1E0000}"/>
    <cellStyle name="Normal 8 6 3 2" xfId="3623" xr:uid="{00000000-0005-0000-0000-00004D1E0000}"/>
    <cellStyle name="Normal 8 6 3 2 2" xfId="7845" xr:uid="{00000000-0005-0000-0000-00004E1E0000}"/>
    <cellStyle name="Normal 8 6 3 2 2 2" xfId="16295" xr:uid="{1F9E350B-CEF8-41ED-80E0-024E33F49897}"/>
    <cellStyle name="Normal 8 6 3 2 3" xfId="12077" xr:uid="{12D8CB30-1FEB-459B-B7A2-3F77FCA94C06}"/>
    <cellStyle name="Normal 8 6 3 3" xfId="5700" xr:uid="{00000000-0005-0000-0000-00004F1E0000}"/>
    <cellStyle name="Normal 8 6 3 3 2" xfId="14150" xr:uid="{8C83C1DE-286A-4203-B4C6-5CE8DA4391B4}"/>
    <cellStyle name="Normal 8 6 3 4" xfId="9932" xr:uid="{D44ED2E2-5875-4EC5-B8C3-BB2C2CA80C8F}"/>
    <cellStyle name="Normal 8 6 4" xfId="1806" xr:uid="{00000000-0005-0000-0000-0000501E0000}"/>
    <cellStyle name="Normal 8 6 4 2" xfId="4036" xr:uid="{00000000-0005-0000-0000-0000511E0000}"/>
    <cellStyle name="Normal 8 6 4 2 2" xfId="8258" xr:uid="{00000000-0005-0000-0000-0000521E0000}"/>
    <cellStyle name="Normal 8 6 4 2 2 2" xfId="16708" xr:uid="{CC361256-D4E2-4623-B189-4D6D428DCB65}"/>
    <cellStyle name="Normal 8 6 4 2 3" xfId="12490" xr:uid="{9E3A8BFA-56AA-4B18-96BF-2ADD3BE9D653}"/>
    <cellStyle name="Normal 8 6 4 3" xfId="6113" xr:uid="{00000000-0005-0000-0000-0000531E0000}"/>
    <cellStyle name="Normal 8 6 4 3 2" xfId="14563" xr:uid="{4D713B0A-138A-4ECB-94D5-B16643815D72}"/>
    <cellStyle name="Normal 8 6 4 4" xfId="10345" xr:uid="{5B4A9F76-093D-4196-B252-F36AFD9A21DC}"/>
    <cellStyle name="Normal 8 6 5" xfId="2220" xr:uid="{00000000-0005-0000-0000-0000541E0000}"/>
    <cellStyle name="Normal 8 6 5 2" xfId="4449" xr:uid="{00000000-0005-0000-0000-0000551E0000}"/>
    <cellStyle name="Normal 8 6 5 2 2" xfId="8671" xr:uid="{00000000-0005-0000-0000-0000561E0000}"/>
    <cellStyle name="Normal 8 6 5 2 2 2" xfId="17121" xr:uid="{C6E3A4FF-EAC2-44FD-8B99-FC6FE997AA05}"/>
    <cellStyle name="Normal 8 6 5 2 3" xfId="12903" xr:uid="{6E783D9E-EF7B-4CFF-8DCA-06F0453F2EAF}"/>
    <cellStyle name="Normal 8 6 5 3" xfId="6526" xr:uid="{00000000-0005-0000-0000-0000571E0000}"/>
    <cellStyle name="Normal 8 6 5 3 2" xfId="14976" xr:uid="{90BA492A-F909-49F9-A936-5A7BD90CD2D2}"/>
    <cellStyle name="Normal 8 6 5 4" xfId="10758" xr:uid="{8B8C9A2F-F629-4B2B-B0C2-3257266D4AC0}"/>
    <cellStyle name="Normal 8 6 6" xfId="2656" xr:uid="{00000000-0005-0000-0000-0000581E0000}"/>
    <cellStyle name="Normal 8 6 6 2" xfId="6939" xr:uid="{00000000-0005-0000-0000-0000591E0000}"/>
    <cellStyle name="Normal 8 6 6 2 2" xfId="15389" xr:uid="{010E3437-1A15-42C2-822E-91010B4163BB}"/>
    <cellStyle name="Normal 8 6 6 3" xfId="11171" xr:uid="{82FDC1C3-BAF6-4152-883E-0007482B6539}"/>
    <cellStyle name="Normal 8 6 7" xfId="4874" xr:uid="{00000000-0005-0000-0000-00005A1E0000}"/>
    <cellStyle name="Normal 8 6 7 2" xfId="13324" xr:uid="{17614A17-9F14-4E8E-809B-CC0E0B7BA61C}"/>
    <cellStyle name="Normal 8 6 8" xfId="9106" xr:uid="{061CA1D3-BDA7-4CD4-B477-A33F18C5E9DE}"/>
    <cellStyle name="Normal 8 7" xfId="945" xr:uid="{00000000-0005-0000-0000-00005B1E0000}"/>
    <cellStyle name="Normal 8 7 2" xfId="3179" xr:uid="{00000000-0005-0000-0000-00005C1E0000}"/>
    <cellStyle name="Normal 8 7 2 2" xfId="7401" xr:uid="{00000000-0005-0000-0000-00005D1E0000}"/>
    <cellStyle name="Normal 8 7 2 2 2" xfId="15851" xr:uid="{FE3CAE81-46AE-447C-9850-E1459B98513F}"/>
    <cellStyle name="Normal 8 7 2 3" xfId="11633" xr:uid="{E45ACC24-4396-4878-B210-95DBB52821D9}"/>
    <cellStyle name="Normal 8 7 3" xfId="5256" xr:uid="{00000000-0005-0000-0000-00005E1E0000}"/>
    <cellStyle name="Normal 8 7 3 2" xfId="13706" xr:uid="{374C48C1-D376-4F36-A92D-735E404F808D}"/>
    <cellStyle name="Normal 8 7 4" xfId="9488" xr:uid="{4086A124-2FD1-48A7-A86B-AA798A001FB3}"/>
    <cellStyle name="Normal 8 8" xfId="1362" xr:uid="{00000000-0005-0000-0000-00005F1E0000}"/>
    <cellStyle name="Normal 8 8 2" xfId="3592" xr:uid="{00000000-0005-0000-0000-0000601E0000}"/>
    <cellStyle name="Normal 8 8 2 2" xfId="7814" xr:uid="{00000000-0005-0000-0000-0000611E0000}"/>
    <cellStyle name="Normal 8 8 2 2 2" xfId="16264" xr:uid="{11DD80A1-A010-4B78-BE61-D9525C3E0842}"/>
    <cellStyle name="Normal 8 8 2 3" xfId="12046" xr:uid="{E0964166-FC3F-4419-974B-FF1122FDA24A}"/>
    <cellStyle name="Normal 8 8 3" xfId="5669" xr:uid="{00000000-0005-0000-0000-0000621E0000}"/>
    <cellStyle name="Normal 8 8 3 2" xfId="14119" xr:uid="{84231BC6-A5FB-462D-BA90-7ABC23E121C1}"/>
    <cellStyle name="Normal 8 8 4" xfId="9901" xr:uid="{1B3AB2A2-7140-49D9-91EF-4F452B77C2D1}"/>
    <cellStyle name="Normal 8 9" xfId="1775" xr:uid="{00000000-0005-0000-0000-0000631E0000}"/>
    <cellStyle name="Normal 8 9 2" xfId="4005" xr:uid="{00000000-0005-0000-0000-0000641E0000}"/>
    <cellStyle name="Normal 8 9 2 2" xfId="8227" xr:uid="{00000000-0005-0000-0000-0000651E0000}"/>
    <cellStyle name="Normal 8 9 2 2 2" xfId="16677" xr:uid="{F185E066-8DC0-4B7E-9014-993FC5FB274C}"/>
    <cellStyle name="Normal 8 9 2 3" xfId="12459" xr:uid="{955FBAEF-D165-4928-96A5-AB6A0922984C}"/>
    <cellStyle name="Normal 8 9 3" xfId="6082" xr:uid="{00000000-0005-0000-0000-0000661E0000}"/>
    <cellStyle name="Normal 8 9 3 2" xfId="14532" xr:uid="{FD4E0FE8-0B29-46BF-A561-A5F90EE662D0}"/>
    <cellStyle name="Normal 8 9 4" xfId="10314" xr:uid="{7804F14C-11F5-460A-A3D7-252F94F1E36A}"/>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0 2 2" xfId="15390" xr:uid="{15CC8CED-8CEF-440D-B1BA-CA6679678403}"/>
    <cellStyle name="Normal 9 2 10 3" xfId="11172" xr:uid="{12B80C3F-4ADD-459A-8549-E77CA6878818}"/>
    <cellStyle name="Normal 9 2 11" xfId="4875" xr:uid="{00000000-0005-0000-0000-00006B1E0000}"/>
    <cellStyle name="Normal 9 2 11 2" xfId="13325" xr:uid="{2883B920-7340-4706-8998-BEDD858DDA5F}"/>
    <cellStyle name="Normal 9 2 12" xfId="9107" xr:uid="{B31791E7-FD6C-4D19-8DB1-F22D438FA493}"/>
    <cellStyle name="Normal 9 2 2" xfId="512" xr:uid="{00000000-0005-0000-0000-00006C1E0000}"/>
    <cellStyle name="Normal 9 2 2 10" xfId="4876" xr:uid="{00000000-0005-0000-0000-00006D1E0000}"/>
    <cellStyle name="Normal 9 2 2 10 2" xfId="13326" xr:uid="{49FF36AE-73AE-41B3-8B2B-C769DC40B850}"/>
    <cellStyle name="Normal 9 2 2 11" xfId="9108" xr:uid="{D509345B-3E2C-41E2-96A4-2262B88B902C}"/>
    <cellStyle name="Normal 9 2 2 2" xfId="513" xr:uid="{00000000-0005-0000-0000-00006E1E0000}"/>
    <cellStyle name="Normal 9 2 2 2 10" xfId="9109" xr:uid="{B1B6BE6C-DD75-4E8A-AC51-F2B567AD4529}"/>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2 2 2" xfId="15887" xr:uid="{481398AE-326B-443D-B33C-3C8094D687F2}"/>
    <cellStyle name="Normal 9 2 2 2 2 2 2 2 3" xfId="11669" xr:uid="{3629E29F-EB17-41B6-8251-20F619ED6A77}"/>
    <cellStyle name="Normal 9 2 2 2 2 2 2 3" xfId="5292" xr:uid="{00000000-0005-0000-0000-0000741E0000}"/>
    <cellStyle name="Normal 9 2 2 2 2 2 2 3 2" xfId="13742" xr:uid="{D423DFC0-63CF-40B3-9360-B73D81749F7C}"/>
    <cellStyle name="Normal 9 2 2 2 2 2 2 4" xfId="9524" xr:uid="{6F2314BE-BF3D-4BC9-B85F-051FE6C83EAB}"/>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2 2 2" xfId="16300" xr:uid="{5BCF3408-A2BA-4A2C-A66B-69789D7FEFD5}"/>
    <cellStyle name="Normal 9 2 2 2 2 2 3 2 3" xfId="12082" xr:uid="{B1007E41-70FD-4214-BF13-B647A14AE15C}"/>
    <cellStyle name="Normal 9 2 2 2 2 2 3 3" xfId="5705" xr:uid="{00000000-0005-0000-0000-0000781E0000}"/>
    <cellStyle name="Normal 9 2 2 2 2 2 3 3 2" xfId="14155" xr:uid="{94840506-8AAC-43E4-BE79-190F65AFE2D6}"/>
    <cellStyle name="Normal 9 2 2 2 2 2 3 4" xfId="9937" xr:uid="{45D7B753-0715-42FF-85D5-1DF255E21B6D}"/>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2 2 2" xfId="16713" xr:uid="{2A6303C2-D3F8-45C5-A824-20EB79CCDFF9}"/>
    <cellStyle name="Normal 9 2 2 2 2 2 4 2 3" xfId="12495" xr:uid="{1F2FBE0B-B6E3-4767-B168-CEE0C7E05DE7}"/>
    <cellStyle name="Normal 9 2 2 2 2 2 4 3" xfId="6118" xr:uid="{00000000-0005-0000-0000-00007C1E0000}"/>
    <cellStyle name="Normal 9 2 2 2 2 2 4 3 2" xfId="14568" xr:uid="{079ECB8E-C94F-4D9C-8459-0E657C55ABBD}"/>
    <cellStyle name="Normal 9 2 2 2 2 2 4 4" xfId="10350" xr:uid="{BDB1C66F-24BC-4B0F-AA0B-5D4406DCDB08}"/>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2 2 2" xfId="17126" xr:uid="{3E2648D5-A00B-4498-B44C-70A6D10F3E7C}"/>
    <cellStyle name="Normal 9 2 2 2 2 2 5 2 3" xfId="12908" xr:uid="{3EB5443D-7A2A-4136-A489-26633AB78CAF}"/>
    <cellStyle name="Normal 9 2 2 2 2 2 5 3" xfId="6531" xr:uid="{00000000-0005-0000-0000-0000801E0000}"/>
    <cellStyle name="Normal 9 2 2 2 2 2 5 3 2" xfId="14981" xr:uid="{AE4509A9-AAB5-47B4-8C69-5B706171D41D}"/>
    <cellStyle name="Normal 9 2 2 2 2 2 5 4" xfId="10763" xr:uid="{5ACF5CB3-D452-423A-B7C2-62225F0AA6E5}"/>
    <cellStyle name="Normal 9 2 2 2 2 2 6" xfId="2661" xr:uid="{00000000-0005-0000-0000-0000811E0000}"/>
    <cellStyle name="Normal 9 2 2 2 2 2 6 2" xfId="6944" xr:uid="{00000000-0005-0000-0000-0000821E0000}"/>
    <cellStyle name="Normal 9 2 2 2 2 2 6 2 2" xfId="15394" xr:uid="{BAEA05A2-7F2F-433C-BAB2-843E1500C4EB}"/>
    <cellStyle name="Normal 9 2 2 2 2 2 6 3" xfId="11176" xr:uid="{FBA4B349-60B3-4411-8A92-B9C46FD685F0}"/>
    <cellStyle name="Normal 9 2 2 2 2 2 7" xfId="4879" xr:uid="{00000000-0005-0000-0000-0000831E0000}"/>
    <cellStyle name="Normal 9 2 2 2 2 2 7 2" xfId="13329" xr:uid="{177E2A6D-2231-4844-87C6-F28093A4254E}"/>
    <cellStyle name="Normal 9 2 2 2 2 2 8" xfId="9111" xr:uid="{104564AB-D942-4422-A148-398029DAF6AD}"/>
    <cellStyle name="Normal 9 2 2 2 2 3" xfId="981" xr:uid="{00000000-0005-0000-0000-0000841E0000}"/>
    <cellStyle name="Normal 9 2 2 2 2 3 2" xfId="3214" xr:uid="{00000000-0005-0000-0000-0000851E0000}"/>
    <cellStyle name="Normal 9 2 2 2 2 3 2 2" xfId="7436" xr:uid="{00000000-0005-0000-0000-0000861E0000}"/>
    <cellStyle name="Normal 9 2 2 2 2 3 2 2 2" xfId="15886" xr:uid="{76C55F5B-075C-4914-ABCD-A3850F954EAC}"/>
    <cellStyle name="Normal 9 2 2 2 2 3 2 3" xfId="11668" xr:uid="{4240CE3F-4B89-42EF-9B13-90327C6F4C3A}"/>
    <cellStyle name="Normal 9 2 2 2 2 3 3" xfId="5291" xr:uid="{00000000-0005-0000-0000-0000871E0000}"/>
    <cellStyle name="Normal 9 2 2 2 2 3 3 2" xfId="13741" xr:uid="{21262A35-22FB-4A75-B854-0460E14C2EBE}"/>
    <cellStyle name="Normal 9 2 2 2 2 3 4" xfId="9523" xr:uid="{1CE73BC4-88CB-4DF9-B7FF-2E5B07A0853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2 2 2" xfId="16299" xr:uid="{7ED51335-D85D-45CC-9823-B0B153037C46}"/>
    <cellStyle name="Normal 9 2 2 2 2 4 2 3" xfId="12081" xr:uid="{C254FAB2-180F-4921-A762-34BF8574FBF0}"/>
    <cellStyle name="Normal 9 2 2 2 2 4 3" xfId="5704" xr:uid="{00000000-0005-0000-0000-00008B1E0000}"/>
    <cellStyle name="Normal 9 2 2 2 2 4 3 2" xfId="14154" xr:uid="{9C983E83-C44B-47AA-AE29-6CA3DE3364EF}"/>
    <cellStyle name="Normal 9 2 2 2 2 4 4" xfId="9936" xr:uid="{D24156EF-C713-4249-9246-C3EE8E5A3E1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2 2 2" xfId="16712" xr:uid="{0E452C3B-FCE6-46C9-9CB0-3BD6E8EB1A23}"/>
    <cellStyle name="Normal 9 2 2 2 2 5 2 3" xfId="12494" xr:uid="{9543EB64-6561-4451-BAD2-58A484FE8491}"/>
    <cellStyle name="Normal 9 2 2 2 2 5 3" xfId="6117" xr:uid="{00000000-0005-0000-0000-00008F1E0000}"/>
    <cellStyle name="Normal 9 2 2 2 2 5 3 2" xfId="14567" xr:uid="{DFD9F3E8-314E-4F1A-AB68-C9C224964069}"/>
    <cellStyle name="Normal 9 2 2 2 2 5 4" xfId="10349" xr:uid="{BF2C149D-D2DD-400E-ACE3-4A1BCAC50BCE}"/>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2 2 2" xfId="17125" xr:uid="{8A9F1C22-A4BB-4332-AD87-E832563FEA5D}"/>
    <cellStyle name="Normal 9 2 2 2 2 6 2 3" xfId="12907" xr:uid="{8677D1FF-F416-4100-B79C-26402CF95089}"/>
    <cellStyle name="Normal 9 2 2 2 2 6 3" xfId="6530" xr:uid="{00000000-0005-0000-0000-0000931E0000}"/>
    <cellStyle name="Normal 9 2 2 2 2 6 3 2" xfId="14980" xr:uid="{64B2A5CA-066A-424C-80CF-E991E6755EA1}"/>
    <cellStyle name="Normal 9 2 2 2 2 6 4" xfId="10762" xr:uid="{73A9E1A7-5981-4EE1-8316-E32E2EFB3EEF}"/>
    <cellStyle name="Normal 9 2 2 2 2 7" xfId="2660" xr:uid="{00000000-0005-0000-0000-0000941E0000}"/>
    <cellStyle name="Normal 9 2 2 2 2 7 2" xfId="6943" xr:uid="{00000000-0005-0000-0000-0000951E0000}"/>
    <cellStyle name="Normal 9 2 2 2 2 7 2 2" xfId="15393" xr:uid="{4275E6E1-5A3D-4373-BFF5-D457C9291EA2}"/>
    <cellStyle name="Normal 9 2 2 2 2 7 3" xfId="11175" xr:uid="{C1BCDA27-A4A3-4FD4-834B-AD93FF8CE297}"/>
    <cellStyle name="Normal 9 2 2 2 2 8" xfId="4878" xr:uid="{00000000-0005-0000-0000-0000961E0000}"/>
    <cellStyle name="Normal 9 2 2 2 2 8 2" xfId="13328" xr:uid="{DB1B6D7E-A63A-4DA8-ACC4-8FD05869D958}"/>
    <cellStyle name="Normal 9 2 2 2 2 9" xfId="9110" xr:uid="{06F6108D-C829-4E97-A1B3-E99E28CD1516}"/>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2 2 2" xfId="15888" xr:uid="{A02C7113-7AB8-41B5-AB7F-F09D57C0932E}"/>
    <cellStyle name="Normal 9 2 2 2 3 2 2 3" xfId="11670" xr:uid="{D741E139-04BA-45BA-A43E-6046F72FFA3C}"/>
    <cellStyle name="Normal 9 2 2 2 3 2 3" xfId="5293" xr:uid="{00000000-0005-0000-0000-00009B1E0000}"/>
    <cellStyle name="Normal 9 2 2 2 3 2 3 2" xfId="13743" xr:uid="{2BF39D8B-66D3-4491-84A3-A063F8AE687B}"/>
    <cellStyle name="Normal 9 2 2 2 3 2 4" xfId="9525" xr:uid="{E6D53227-84C7-4449-B951-73DF47E6A905}"/>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2 2 2" xfId="16301" xr:uid="{F7FCA72C-DAC1-467F-9537-A7129B725D03}"/>
    <cellStyle name="Normal 9 2 2 2 3 3 2 3" xfId="12083" xr:uid="{30BDB42F-5E22-4C8D-A341-CF73C64D9CA2}"/>
    <cellStyle name="Normal 9 2 2 2 3 3 3" xfId="5706" xr:uid="{00000000-0005-0000-0000-00009F1E0000}"/>
    <cellStyle name="Normal 9 2 2 2 3 3 3 2" xfId="14156" xr:uid="{B31DFCDB-B525-4433-AFF2-4583AA406BD6}"/>
    <cellStyle name="Normal 9 2 2 2 3 3 4" xfId="9938" xr:uid="{0ADFB1B1-74BB-49E1-A055-9A2ED880A991}"/>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2 2 2" xfId="16714" xr:uid="{80B6D6EC-58D7-400A-8F64-46DB07A23618}"/>
    <cellStyle name="Normal 9 2 2 2 3 4 2 3" xfId="12496" xr:uid="{4D841870-462B-45B7-916E-47768B5BBCA9}"/>
    <cellStyle name="Normal 9 2 2 2 3 4 3" xfId="6119" xr:uid="{00000000-0005-0000-0000-0000A31E0000}"/>
    <cellStyle name="Normal 9 2 2 2 3 4 3 2" xfId="14569" xr:uid="{C228A8C0-845C-4259-B96E-675C3F9569C7}"/>
    <cellStyle name="Normal 9 2 2 2 3 4 4" xfId="10351" xr:uid="{350206B6-C8CD-4CE7-ABAA-CA56E238688B}"/>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2 2 2" xfId="17127" xr:uid="{90E8ACA5-78E9-40DC-A638-53DDE149F16A}"/>
    <cellStyle name="Normal 9 2 2 2 3 5 2 3" xfId="12909" xr:uid="{90FB72A9-618A-4265-8BD7-19288F219EDA}"/>
    <cellStyle name="Normal 9 2 2 2 3 5 3" xfId="6532" xr:uid="{00000000-0005-0000-0000-0000A71E0000}"/>
    <cellStyle name="Normal 9 2 2 2 3 5 3 2" xfId="14982" xr:uid="{FA2F14CA-3DC2-4019-88E9-0A53E962EC43}"/>
    <cellStyle name="Normal 9 2 2 2 3 5 4" xfId="10764" xr:uid="{A0DB8333-C863-4054-8A3E-53CD2A45DCEE}"/>
    <cellStyle name="Normal 9 2 2 2 3 6" xfId="2662" xr:uid="{00000000-0005-0000-0000-0000A81E0000}"/>
    <cellStyle name="Normal 9 2 2 2 3 6 2" xfId="6945" xr:uid="{00000000-0005-0000-0000-0000A91E0000}"/>
    <cellStyle name="Normal 9 2 2 2 3 6 2 2" xfId="15395" xr:uid="{BABCDF5C-AAC4-41B8-A227-CC05B830756F}"/>
    <cellStyle name="Normal 9 2 2 2 3 6 3" xfId="11177" xr:uid="{ED049F26-0725-4C57-AC5E-A7C4DBE49A4B}"/>
    <cellStyle name="Normal 9 2 2 2 3 7" xfId="4880" xr:uid="{00000000-0005-0000-0000-0000AA1E0000}"/>
    <cellStyle name="Normal 9 2 2 2 3 7 2" xfId="13330" xr:uid="{F28E7B6F-0741-40A2-BFCA-28F76B5DE54C}"/>
    <cellStyle name="Normal 9 2 2 2 3 8" xfId="9112" xr:uid="{8663A243-CAA6-44BE-BDFD-19C055B70843}"/>
    <cellStyle name="Normal 9 2 2 2 4" xfId="980" xr:uid="{00000000-0005-0000-0000-0000AB1E0000}"/>
    <cellStyle name="Normal 9 2 2 2 4 2" xfId="3213" xr:uid="{00000000-0005-0000-0000-0000AC1E0000}"/>
    <cellStyle name="Normal 9 2 2 2 4 2 2" xfId="7435" xr:uid="{00000000-0005-0000-0000-0000AD1E0000}"/>
    <cellStyle name="Normal 9 2 2 2 4 2 2 2" xfId="15885" xr:uid="{80E42E2D-6382-4623-A143-26515B27930A}"/>
    <cellStyle name="Normal 9 2 2 2 4 2 3" xfId="11667" xr:uid="{3B576108-219B-4F56-A6F7-4E754E239984}"/>
    <cellStyle name="Normal 9 2 2 2 4 3" xfId="5290" xr:uid="{00000000-0005-0000-0000-0000AE1E0000}"/>
    <cellStyle name="Normal 9 2 2 2 4 3 2" xfId="13740" xr:uid="{4DA8C695-94EC-4B8F-871D-1157DF87BE94}"/>
    <cellStyle name="Normal 9 2 2 2 4 4" xfId="9522" xr:uid="{B361A814-6338-43D9-9EF3-2A9A8F2BB298}"/>
    <cellStyle name="Normal 9 2 2 2 5" xfId="1396" xr:uid="{00000000-0005-0000-0000-0000AF1E0000}"/>
    <cellStyle name="Normal 9 2 2 2 5 2" xfId="3626" xr:uid="{00000000-0005-0000-0000-0000B01E0000}"/>
    <cellStyle name="Normal 9 2 2 2 5 2 2" xfId="7848" xr:uid="{00000000-0005-0000-0000-0000B11E0000}"/>
    <cellStyle name="Normal 9 2 2 2 5 2 2 2" xfId="16298" xr:uid="{FFCDA50B-4CE1-49BD-BFE4-680B10BD0E19}"/>
    <cellStyle name="Normal 9 2 2 2 5 2 3" xfId="12080" xr:uid="{CAEB4711-F4C0-45CA-80F5-F1EC1280417A}"/>
    <cellStyle name="Normal 9 2 2 2 5 3" xfId="5703" xr:uid="{00000000-0005-0000-0000-0000B21E0000}"/>
    <cellStyle name="Normal 9 2 2 2 5 3 2" xfId="14153" xr:uid="{E63DFA6F-F1F2-4C15-8AA2-14E67A9B2580}"/>
    <cellStyle name="Normal 9 2 2 2 5 4" xfId="9935" xr:uid="{CE78152F-2BF2-4A9C-AEA6-CF369575106C}"/>
    <cellStyle name="Normal 9 2 2 2 6" xfId="1809" xr:uid="{00000000-0005-0000-0000-0000B31E0000}"/>
    <cellStyle name="Normal 9 2 2 2 6 2" xfId="4039" xr:uid="{00000000-0005-0000-0000-0000B41E0000}"/>
    <cellStyle name="Normal 9 2 2 2 6 2 2" xfId="8261" xr:uid="{00000000-0005-0000-0000-0000B51E0000}"/>
    <cellStyle name="Normal 9 2 2 2 6 2 2 2" xfId="16711" xr:uid="{ADD7DFA6-7311-4491-BCBD-EA8492D08A99}"/>
    <cellStyle name="Normal 9 2 2 2 6 2 3" xfId="12493" xr:uid="{23574E11-1D75-4733-9176-6A3CBCB507A6}"/>
    <cellStyle name="Normal 9 2 2 2 6 3" xfId="6116" xr:uid="{00000000-0005-0000-0000-0000B61E0000}"/>
    <cellStyle name="Normal 9 2 2 2 6 3 2" xfId="14566" xr:uid="{4E5DEE0E-9B9E-4436-A83F-0CAD399F7724}"/>
    <cellStyle name="Normal 9 2 2 2 6 4" xfId="10348" xr:uid="{8D360C28-D373-42BE-9724-29D00E26E63D}"/>
    <cellStyle name="Normal 9 2 2 2 7" xfId="2223" xr:uid="{00000000-0005-0000-0000-0000B71E0000}"/>
    <cellStyle name="Normal 9 2 2 2 7 2" xfId="4452" xr:uid="{00000000-0005-0000-0000-0000B81E0000}"/>
    <cellStyle name="Normal 9 2 2 2 7 2 2" xfId="8674" xr:uid="{00000000-0005-0000-0000-0000B91E0000}"/>
    <cellStyle name="Normal 9 2 2 2 7 2 2 2" xfId="17124" xr:uid="{11BE4085-E21A-4DA5-8C07-A755CD7B8047}"/>
    <cellStyle name="Normal 9 2 2 2 7 2 3" xfId="12906" xr:uid="{B10DDECD-B790-4B47-A728-33AE338DBD94}"/>
    <cellStyle name="Normal 9 2 2 2 7 3" xfId="6529" xr:uid="{00000000-0005-0000-0000-0000BA1E0000}"/>
    <cellStyle name="Normal 9 2 2 2 7 3 2" xfId="14979" xr:uid="{EE94E43B-9AD1-479D-94CE-ED17527E10C8}"/>
    <cellStyle name="Normal 9 2 2 2 7 4" xfId="10761" xr:uid="{F3464476-AC07-4780-872E-36FD5ABCCF3D}"/>
    <cellStyle name="Normal 9 2 2 2 8" xfId="2659" xr:uid="{00000000-0005-0000-0000-0000BB1E0000}"/>
    <cellStyle name="Normal 9 2 2 2 8 2" xfId="6942" xr:uid="{00000000-0005-0000-0000-0000BC1E0000}"/>
    <cellStyle name="Normal 9 2 2 2 8 2 2" xfId="15392" xr:uid="{C76DF63B-2005-4BF3-9B7A-0B38695F3EA0}"/>
    <cellStyle name="Normal 9 2 2 2 8 3" xfId="11174" xr:uid="{3B429C0B-1CF3-4E7A-A1F0-301AA8FA736D}"/>
    <cellStyle name="Normal 9 2 2 2 9" xfId="4877" xr:uid="{00000000-0005-0000-0000-0000BD1E0000}"/>
    <cellStyle name="Normal 9 2 2 2 9 2" xfId="13327" xr:uid="{B82686F4-E30F-432C-9455-98C340FF86FC}"/>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2 2 2" xfId="15890" xr:uid="{FAC546B6-57B5-4AF8-8125-5EC7399026F9}"/>
    <cellStyle name="Normal 9 2 2 3 2 2 2 3" xfId="11672" xr:uid="{31499F8E-4CE9-4012-9543-D7DE3C01E4FF}"/>
    <cellStyle name="Normal 9 2 2 3 2 2 3" xfId="5295" xr:uid="{00000000-0005-0000-0000-0000C31E0000}"/>
    <cellStyle name="Normal 9 2 2 3 2 2 3 2" xfId="13745" xr:uid="{D098C1AF-B903-43C8-9568-56581290FECE}"/>
    <cellStyle name="Normal 9 2 2 3 2 2 4" xfId="9527" xr:uid="{61E6E5F5-A9F8-4F57-9B3D-152A2BAC1822}"/>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2 2 2" xfId="16303" xr:uid="{5D62A755-2495-499B-BE5B-568B3AEED2B0}"/>
    <cellStyle name="Normal 9 2 2 3 2 3 2 3" xfId="12085" xr:uid="{68F2CACA-A449-4B99-A49A-AC00932DCF86}"/>
    <cellStyle name="Normal 9 2 2 3 2 3 3" xfId="5708" xr:uid="{00000000-0005-0000-0000-0000C71E0000}"/>
    <cellStyle name="Normal 9 2 2 3 2 3 3 2" xfId="14158" xr:uid="{03A227FF-111F-4BCA-BF3B-55784DA49FD7}"/>
    <cellStyle name="Normal 9 2 2 3 2 3 4" xfId="9940" xr:uid="{708322CC-3543-48EA-9FD4-4E5D24CFF1FA}"/>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2 2 2" xfId="16716" xr:uid="{1BC41206-FEDC-4178-824A-8F49666D79D8}"/>
    <cellStyle name="Normal 9 2 2 3 2 4 2 3" xfId="12498" xr:uid="{4BD9FC22-6302-4783-B0F7-5C28E2BD577B}"/>
    <cellStyle name="Normal 9 2 2 3 2 4 3" xfId="6121" xr:uid="{00000000-0005-0000-0000-0000CB1E0000}"/>
    <cellStyle name="Normal 9 2 2 3 2 4 3 2" xfId="14571" xr:uid="{0F08B340-CC48-47F4-BAB3-37D05C50F695}"/>
    <cellStyle name="Normal 9 2 2 3 2 4 4" xfId="10353" xr:uid="{F5C5C377-FCEF-44CE-BE05-4EF04A7BAF64}"/>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2 2 2" xfId="17129" xr:uid="{98A6C6F1-2025-4816-A229-806CE2385B3F}"/>
    <cellStyle name="Normal 9 2 2 3 2 5 2 3" xfId="12911" xr:uid="{2F89DD85-F19A-4DC0-B765-4C32BDCD5B45}"/>
    <cellStyle name="Normal 9 2 2 3 2 5 3" xfId="6534" xr:uid="{00000000-0005-0000-0000-0000CF1E0000}"/>
    <cellStyle name="Normal 9 2 2 3 2 5 3 2" xfId="14984" xr:uid="{349C0136-DCC7-4F25-AD91-BE047990B734}"/>
    <cellStyle name="Normal 9 2 2 3 2 5 4" xfId="10766" xr:uid="{CEB2610F-98F7-4992-8752-B6B679185CFB}"/>
    <cellStyle name="Normal 9 2 2 3 2 6" xfId="2664" xr:uid="{00000000-0005-0000-0000-0000D01E0000}"/>
    <cellStyle name="Normal 9 2 2 3 2 6 2" xfId="6947" xr:uid="{00000000-0005-0000-0000-0000D11E0000}"/>
    <cellStyle name="Normal 9 2 2 3 2 6 2 2" xfId="15397" xr:uid="{258A1191-A275-4B11-AF2E-F565EE3B82E7}"/>
    <cellStyle name="Normal 9 2 2 3 2 6 3" xfId="11179" xr:uid="{D8CDC582-BEA0-4F60-BEE7-397E0F02D127}"/>
    <cellStyle name="Normal 9 2 2 3 2 7" xfId="4882" xr:uid="{00000000-0005-0000-0000-0000D21E0000}"/>
    <cellStyle name="Normal 9 2 2 3 2 7 2" xfId="13332" xr:uid="{15BBA7AC-81E4-4EBA-AA6A-977AD42D51B8}"/>
    <cellStyle name="Normal 9 2 2 3 2 8" xfId="9114" xr:uid="{A6EAA82A-CBE1-4AD1-8540-B99F1F1D511D}"/>
    <cellStyle name="Normal 9 2 2 3 3" xfId="984" xr:uid="{00000000-0005-0000-0000-0000D31E0000}"/>
    <cellStyle name="Normal 9 2 2 3 3 2" xfId="3217" xr:uid="{00000000-0005-0000-0000-0000D41E0000}"/>
    <cellStyle name="Normal 9 2 2 3 3 2 2" xfId="7439" xr:uid="{00000000-0005-0000-0000-0000D51E0000}"/>
    <cellStyle name="Normal 9 2 2 3 3 2 2 2" xfId="15889" xr:uid="{8E54B329-19C2-4CE4-8F18-F4076ADAF3F5}"/>
    <cellStyle name="Normal 9 2 2 3 3 2 3" xfId="11671" xr:uid="{75E2A1A7-25BF-4A58-9E1C-6A4DDF5BC63B}"/>
    <cellStyle name="Normal 9 2 2 3 3 3" xfId="5294" xr:uid="{00000000-0005-0000-0000-0000D61E0000}"/>
    <cellStyle name="Normal 9 2 2 3 3 3 2" xfId="13744" xr:uid="{2201E442-0494-43F9-A485-866541F1791F}"/>
    <cellStyle name="Normal 9 2 2 3 3 4" xfId="9526" xr:uid="{30AFC879-A515-45E2-B5AE-63C170897776}"/>
    <cellStyle name="Normal 9 2 2 3 4" xfId="1400" xr:uid="{00000000-0005-0000-0000-0000D71E0000}"/>
    <cellStyle name="Normal 9 2 2 3 4 2" xfId="3630" xr:uid="{00000000-0005-0000-0000-0000D81E0000}"/>
    <cellStyle name="Normal 9 2 2 3 4 2 2" xfId="7852" xr:uid="{00000000-0005-0000-0000-0000D91E0000}"/>
    <cellStyle name="Normal 9 2 2 3 4 2 2 2" xfId="16302" xr:uid="{D2E09632-D05F-4298-9F25-B0F3A60D6DC4}"/>
    <cellStyle name="Normal 9 2 2 3 4 2 3" xfId="12084" xr:uid="{F158035B-91AF-49AF-97E7-10B99075F0C3}"/>
    <cellStyle name="Normal 9 2 2 3 4 3" xfId="5707" xr:uid="{00000000-0005-0000-0000-0000DA1E0000}"/>
    <cellStyle name="Normal 9 2 2 3 4 3 2" xfId="14157" xr:uid="{2B7B7C07-8662-4D35-B378-85BF7124F0C9}"/>
    <cellStyle name="Normal 9 2 2 3 4 4" xfId="9939" xr:uid="{29E37EF0-403E-4826-8CB6-E063145FBED2}"/>
    <cellStyle name="Normal 9 2 2 3 5" xfId="1813" xr:uid="{00000000-0005-0000-0000-0000DB1E0000}"/>
    <cellStyle name="Normal 9 2 2 3 5 2" xfId="4043" xr:uid="{00000000-0005-0000-0000-0000DC1E0000}"/>
    <cellStyle name="Normal 9 2 2 3 5 2 2" xfId="8265" xr:uid="{00000000-0005-0000-0000-0000DD1E0000}"/>
    <cellStyle name="Normal 9 2 2 3 5 2 2 2" xfId="16715" xr:uid="{52CD9F73-3D75-46F9-B7B4-D0930B00A923}"/>
    <cellStyle name="Normal 9 2 2 3 5 2 3" xfId="12497" xr:uid="{374E2803-D0DF-4EF1-B0AF-40B12C72DDED}"/>
    <cellStyle name="Normal 9 2 2 3 5 3" xfId="6120" xr:uid="{00000000-0005-0000-0000-0000DE1E0000}"/>
    <cellStyle name="Normal 9 2 2 3 5 3 2" xfId="14570" xr:uid="{562556A6-64C2-4762-AF31-0EBD5CEA5BAC}"/>
    <cellStyle name="Normal 9 2 2 3 5 4" xfId="10352" xr:uid="{B57911D9-5C78-46B1-8258-0B0A56018A3E}"/>
    <cellStyle name="Normal 9 2 2 3 6" xfId="2227" xr:uid="{00000000-0005-0000-0000-0000DF1E0000}"/>
    <cellStyle name="Normal 9 2 2 3 6 2" xfId="4456" xr:uid="{00000000-0005-0000-0000-0000E01E0000}"/>
    <cellStyle name="Normal 9 2 2 3 6 2 2" xfId="8678" xr:uid="{00000000-0005-0000-0000-0000E11E0000}"/>
    <cellStyle name="Normal 9 2 2 3 6 2 2 2" xfId="17128" xr:uid="{ED07D15E-45CE-4161-810A-52345BF1A3BE}"/>
    <cellStyle name="Normal 9 2 2 3 6 2 3" xfId="12910" xr:uid="{A8D221FF-26DD-4E6E-AD75-B5B9641853F0}"/>
    <cellStyle name="Normal 9 2 2 3 6 3" xfId="6533" xr:uid="{00000000-0005-0000-0000-0000E21E0000}"/>
    <cellStyle name="Normal 9 2 2 3 6 3 2" xfId="14983" xr:uid="{17B5B027-1BAA-46C9-BE66-26AE2F92EE07}"/>
    <cellStyle name="Normal 9 2 2 3 6 4" xfId="10765" xr:uid="{029D69A2-E4AB-41C9-99BD-FC7B07B08FE8}"/>
    <cellStyle name="Normal 9 2 2 3 7" xfId="2663" xr:uid="{00000000-0005-0000-0000-0000E31E0000}"/>
    <cellStyle name="Normal 9 2 2 3 7 2" xfId="6946" xr:uid="{00000000-0005-0000-0000-0000E41E0000}"/>
    <cellStyle name="Normal 9 2 2 3 7 2 2" xfId="15396" xr:uid="{2233C192-774F-4A82-82D9-E5B30FC02705}"/>
    <cellStyle name="Normal 9 2 2 3 7 3" xfId="11178" xr:uid="{5D871632-8903-430D-966E-81CED9C5AEAE}"/>
    <cellStyle name="Normal 9 2 2 3 8" xfId="4881" xr:uid="{00000000-0005-0000-0000-0000E51E0000}"/>
    <cellStyle name="Normal 9 2 2 3 8 2" xfId="13331" xr:uid="{29D7CBC9-0D6B-4B2E-9573-B194AFA4D41D}"/>
    <cellStyle name="Normal 9 2 2 3 9" xfId="9113" xr:uid="{D5345DC7-CBBB-4140-8E65-9CE1788AB605}"/>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2 2 2" xfId="15891" xr:uid="{7D2E82AD-9060-4195-BBBE-33CCE2E79847}"/>
    <cellStyle name="Normal 9 2 2 4 2 2 3" xfId="11673" xr:uid="{DDC521A8-D76F-4547-BF14-C76D56D08552}"/>
    <cellStyle name="Normal 9 2 2 4 2 3" xfId="5296" xr:uid="{00000000-0005-0000-0000-0000EA1E0000}"/>
    <cellStyle name="Normal 9 2 2 4 2 3 2" xfId="13746" xr:uid="{3071FE72-9FE7-4CD6-8665-37A6FB4C76B2}"/>
    <cellStyle name="Normal 9 2 2 4 2 4" xfId="9528" xr:uid="{814864AE-EE5A-4103-8AE8-9BA7FFD4046C}"/>
    <cellStyle name="Normal 9 2 2 4 3" xfId="1402" xr:uid="{00000000-0005-0000-0000-0000EB1E0000}"/>
    <cellStyle name="Normal 9 2 2 4 3 2" xfId="3632" xr:uid="{00000000-0005-0000-0000-0000EC1E0000}"/>
    <cellStyle name="Normal 9 2 2 4 3 2 2" xfId="7854" xr:uid="{00000000-0005-0000-0000-0000ED1E0000}"/>
    <cellStyle name="Normal 9 2 2 4 3 2 2 2" xfId="16304" xr:uid="{8308A476-B85F-447A-ACE2-805B9218B89F}"/>
    <cellStyle name="Normal 9 2 2 4 3 2 3" xfId="12086" xr:uid="{3DD9A2D9-D358-47B0-AE72-203BB96505BB}"/>
    <cellStyle name="Normal 9 2 2 4 3 3" xfId="5709" xr:uid="{00000000-0005-0000-0000-0000EE1E0000}"/>
    <cellStyle name="Normal 9 2 2 4 3 3 2" xfId="14159" xr:uid="{048FA3F4-2913-4132-A270-61B5341970C4}"/>
    <cellStyle name="Normal 9 2 2 4 3 4" xfId="9941" xr:uid="{D510C03C-003C-4BE4-93CA-623390D850A7}"/>
    <cellStyle name="Normal 9 2 2 4 4" xfId="1815" xr:uid="{00000000-0005-0000-0000-0000EF1E0000}"/>
    <cellStyle name="Normal 9 2 2 4 4 2" xfId="4045" xr:uid="{00000000-0005-0000-0000-0000F01E0000}"/>
    <cellStyle name="Normal 9 2 2 4 4 2 2" xfId="8267" xr:uid="{00000000-0005-0000-0000-0000F11E0000}"/>
    <cellStyle name="Normal 9 2 2 4 4 2 2 2" xfId="16717" xr:uid="{11D257C5-CE18-4ECA-A3B6-1E2F59A99612}"/>
    <cellStyle name="Normal 9 2 2 4 4 2 3" xfId="12499" xr:uid="{21D85378-52F6-4FBC-8110-4D022D0BD048}"/>
    <cellStyle name="Normal 9 2 2 4 4 3" xfId="6122" xr:uid="{00000000-0005-0000-0000-0000F21E0000}"/>
    <cellStyle name="Normal 9 2 2 4 4 3 2" xfId="14572" xr:uid="{4A93E18D-34F4-4866-8E38-2FA3D4CB5399}"/>
    <cellStyle name="Normal 9 2 2 4 4 4" xfId="10354" xr:uid="{0E4135EC-EC24-404E-8FFF-37519DA9B28B}"/>
    <cellStyle name="Normal 9 2 2 4 5" xfId="2229" xr:uid="{00000000-0005-0000-0000-0000F31E0000}"/>
    <cellStyle name="Normal 9 2 2 4 5 2" xfId="4458" xr:uid="{00000000-0005-0000-0000-0000F41E0000}"/>
    <cellStyle name="Normal 9 2 2 4 5 2 2" xfId="8680" xr:uid="{00000000-0005-0000-0000-0000F51E0000}"/>
    <cellStyle name="Normal 9 2 2 4 5 2 2 2" xfId="17130" xr:uid="{89476194-D145-47C1-B1AC-A1ADFF568418}"/>
    <cellStyle name="Normal 9 2 2 4 5 2 3" xfId="12912" xr:uid="{3D469B26-37D0-44F5-B47D-98E4F99DD2D1}"/>
    <cellStyle name="Normal 9 2 2 4 5 3" xfId="6535" xr:uid="{00000000-0005-0000-0000-0000F61E0000}"/>
    <cellStyle name="Normal 9 2 2 4 5 3 2" xfId="14985" xr:uid="{287C8A2A-7AF3-4CFD-B67F-D67481C28D4F}"/>
    <cellStyle name="Normal 9 2 2 4 5 4" xfId="10767" xr:uid="{06DEBD5E-E88E-4409-BB3D-3370022B46B8}"/>
    <cellStyle name="Normal 9 2 2 4 6" xfId="2665" xr:uid="{00000000-0005-0000-0000-0000F71E0000}"/>
    <cellStyle name="Normal 9 2 2 4 6 2" xfId="6948" xr:uid="{00000000-0005-0000-0000-0000F81E0000}"/>
    <cellStyle name="Normal 9 2 2 4 6 2 2" xfId="15398" xr:uid="{74DFFC61-9EF6-4918-A523-171287DB1C91}"/>
    <cellStyle name="Normal 9 2 2 4 6 3" xfId="11180" xr:uid="{7E884D3E-C74D-4F3D-8D0E-8236A9F0BF01}"/>
    <cellStyle name="Normal 9 2 2 4 7" xfId="4883" xr:uid="{00000000-0005-0000-0000-0000F91E0000}"/>
    <cellStyle name="Normal 9 2 2 4 7 2" xfId="13333" xr:uid="{6EDD1131-C97C-4475-93DA-804A3BA68823}"/>
    <cellStyle name="Normal 9 2 2 4 8" xfId="9115" xr:uid="{4F731B66-CFBD-4326-9564-EFABEC848D49}"/>
    <cellStyle name="Normal 9 2 2 5" xfId="979" xr:uid="{00000000-0005-0000-0000-0000FA1E0000}"/>
    <cellStyle name="Normal 9 2 2 5 2" xfId="3212" xr:uid="{00000000-0005-0000-0000-0000FB1E0000}"/>
    <cellStyle name="Normal 9 2 2 5 2 2" xfId="7434" xr:uid="{00000000-0005-0000-0000-0000FC1E0000}"/>
    <cellStyle name="Normal 9 2 2 5 2 2 2" xfId="15884" xr:uid="{017B84F2-EE7B-4C6A-9010-9B1C1799A17C}"/>
    <cellStyle name="Normal 9 2 2 5 2 3" xfId="11666" xr:uid="{C59D8A45-C22C-4850-8266-B9FEEAFBD9C6}"/>
    <cellStyle name="Normal 9 2 2 5 3" xfId="5289" xr:uid="{00000000-0005-0000-0000-0000FD1E0000}"/>
    <cellStyle name="Normal 9 2 2 5 3 2" xfId="13739" xr:uid="{AEAB66D0-DD01-4EB3-BFDB-B116A9709115}"/>
    <cellStyle name="Normal 9 2 2 5 4" xfId="9521" xr:uid="{83E0A6D7-D5C5-411D-B639-675A5BFF8C80}"/>
    <cellStyle name="Normal 9 2 2 6" xfId="1395" xr:uid="{00000000-0005-0000-0000-0000FE1E0000}"/>
    <cellStyle name="Normal 9 2 2 6 2" xfId="3625" xr:uid="{00000000-0005-0000-0000-0000FF1E0000}"/>
    <cellStyle name="Normal 9 2 2 6 2 2" xfId="7847" xr:uid="{00000000-0005-0000-0000-0000001F0000}"/>
    <cellStyle name="Normal 9 2 2 6 2 2 2" xfId="16297" xr:uid="{6E1556D8-9DA1-4972-87F9-323EC79F7191}"/>
    <cellStyle name="Normal 9 2 2 6 2 3" xfId="12079" xr:uid="{F24B6BF0-1A5A-483B-A4C0-B19B5242B7B6}"/>
    <cellStyle name="Normal 9 2 2 6 3" xfId="5702" xr:uid="{00000000-0005-0000-0000-0000011F0000}"/>
    <cellStyle name="Normal 9 2 2 6 3 2" xfId="14152" xr:uid="{F9A485CC-4377-4E5E-9BAE-F7ED6FFF09D4}"/>
    <cellStyle name="Normal 9 2 2 6 4" xfId="9934" xr:uid="{156C863A-8465-4C3E-9527-0E8204B61E51}"/>
    <cellStyle name="Normal 9 2 2 7" xfId="1808" xr:uid="{00000000-0005-0000-0000-0000021F0000}"/>
    <cellStyle name="Normal 9 2 2 7 2" xfId="4038" xr:uid="{00000000-0005-0000-0000-0000031F0000}"/>
    <cellStyle name="Normal 9 2 2 7 2 2" xfId="8260" xr:uid="{00000000-0005-0000-0000-0000041F0000}"/>
    <cellStyle name="Normal 9 2 2 7 2 2 2" xfId="16710" xr:uid="{013BEAA8-D4A0-48BD-9A67-A91D2886E787}"/>
    <cellStyle name="Normal 9 2 2 7 2 3" xfId="12492" xr:uid="{A35E56D7-4F53-4569-9E78-CA9570838025}"/>
    <cellStyle name="Normal 9 2 2 7 3" xfId="6115" xr:uid="{00000000-0005-0000-0000-0000051F0000}"/>
    <cellStyle name="Normal 9 2 2 7 3 2" xfId="14565" xr:uid="{49EAC90E-068B-43D2-BC97-7C0E3F907C6F}"/>
    <cellStyle name="Normal 9 2 2 7 4" xfId="10347" xr:uid="{990661C8-7EB6-40D8-BDF9-A6E9DE509481}"/>
    <cellStyle name="Normal 9 2 2 8" xfId="2222" xr:uid="{00000000-0005-0000-0000-0000061F0000}"/>
    <cellStyle name="Normal 9 2 2 8 2" xfId="4451" xr:uid="{00000000-0005-0000-0000-0000071F0000}"/>
    <cellStyle name="Normal 9 2 2 8 2 2" xfId="8673" xr:uid="{00000000-0005-0000-0000-0000081F0000}"/>
    <cellStyle name="Normal 9 2 2 8 2 2 2" xfId="17123" xr:uid="{6CA326DD-4E2D-44B2-98C6-5E933EFB7389}"/>
    <cellStyle name="Normal 9 2 2 8 2 3" xfId="12905" xr:uid="{CC735A26-0112-4020-883D-E08954F442F4}"/>
    <cellStyle name="Normal 9 2 2 8 3" xfId="6528" xr:uid="{00000000-0005-0000-0000-0000091F0000}"/>
    <cellStyle name="Normal 9 2 2 8 3 2" xfId="14978" xr:uid="{01EE59E1-671E-43CD-B04E-29F601D7A68C}"/>
    <cellStyle name="Normal 9 2 2 8 4" xfId="10760" xr:uid="{F460F5A3-FFB5-4731-B839-9043410BDBE8}"/>
    <cellStyle name="Normal 9 2 2 9" xfId="2658" xr:uid="{00000000-0005-0000-0000-00000A1F0000}"/>
    <cellStyle name="Normal 9 2 2 9 2" xfId="6941" xr:uid="{00000000-0005-0000-0000-00000B1F0000}"/>
    <cellStyle name="Normal 9 2 2 9 2 2" xfId="15391" xr:uid="{57B5F76E-94DE-45D4-B35F-1966A50B5058}"/>
    <cellStyle name="Normal 9 2 2 9 3" xfId="11173" xr:uid="{A67359D9-D753-4F1F-8D99-CC7CD04E9363}"/>
    <cellStyle name="Normal 9 2 3" xfId="520" xr:uid="{00000000-0005-0000-0000-00000C1F0000}"/>
    <cellStyle name="Normal 9 2 3 10" xfId="9116" xr:uid="{2435E72C-615F-46AD-ABD4-27204A038CFD}"/>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2 2 2" xfId="15894" xr:uid="{3FC8CF8F-6EAC-454E-B4CD-D4F45DBB944F}"/>
    <cellStyle name="Normal 9 2 3 2 2 2 2 3" xfId="11676" xr:uid="{B43F413E-BFB9-42AE-89BC-A48F8A50B854}"/>
    <cellStyle name="Normal 9 2 3 2 2 2 3" xfId="5299" xr:uid="{00000000-0005-0000-0000-0000121F0000}"/>
    <cellStyle name="Normal 9 2 3 2 2 2 3 2" xfId="13749" xr:uid="{3E6F3CA0-6532-4F6B-8E04-54EAE309E4ED}"/>
    <cellStyle name="Normal 9 2 3 2 2 2 4" xfId="9531" xr:uid="{EDAB2709-473A-4EAE-A09C-9A02B96CDED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2 2 2" xfId="16307" xr:uid="{69FB4973-AE0F-428B-86FE-07A3D75739E0}"/>
    <cellStyle name="Normal 9 2 3 2 2 3 2 3" xfId="12089" xr:uid="{03723A0F-B119-4716-ADB1-563E32904B67}"/>
    <cellStyle name="Normal 9 2 3 2 2 3 3" xfId="5712" xr:uid="{00000000-0005-0000-0000-0000161F0000}"/>
    <cellStyle name="Normal 9 2 3 2 2 3 3 2" xfId="14162" xr:uid="{9FF67633-AE81-4852-AEB8-22B92D20CAC2}"/>
    <cellStyle name="Normal 9 2 3 2 2 3 4" xfId="9944" xr:uid="{87D8148B-B4C5-4923-9C17-8F69AA45BA26}"/>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2 2 2" xfId="16720" xr:uid="{6B60197C-05BC-4045-8410-4050909B98AC}"/>
    <cellStyle name="Normal 9 2 3 2 2 4 2 3" xfId="12502" xr:uid="{385573C6-AD7C-4574-B0F6-7FE346F69FE3}"/>
    <cellStyle name="Normal 9 2 3 2 2 4 3" xfId="6125" xr:uid="{00000000-0005-0000-0000-00001A1F0000}"/>
    <cellStyle name="Normal 9 2 3 2 2 4 3 2" xfId="14575" xr:uid="{088978DB-19EB-4324-B514-D31246CA290E}"/>
    <cellStyle name="Normal 9 2 3 2 2 4 4" xfId="10357" xr:uid="{1D110C6D-80CA-414E-AB5F-C81FB3AAAEBB}"/>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2 2 2" xfId="17133" xr:uid="{CD455F06-95FC-4745-B763-B779B2727B37}"/>
    <cellStyle name="Normal 9 2 3 2 2 5 2 3" xfId="12915" xr:uid="{60C3EF1E-259C-4F1F-8F40-85E71CE8C4AB}"/>
    <cellStyle name="Normal 9 2 3 2 2 5 3" xfId="6538" xr:uid="{00000000-0005-0000-0000-00001E1F0000}"/>
    <cellStyle name="Normal 9 2 3 2 2 5 3 2" xfId="14988" xr:uid="{57734CA3-A16C-4B14-BC3A-D122AF9A98EA}"/>
    <cellStyle name="Normal 9 2 3 2 2 5 4" xfId="10770" xr:uid="{B7E10A6A-F578-450C-8277-EC8C0800608A}"/>
    <cellStyle name="Normal 9 2 3 2 2 6" xfId="2668" xr:uid="{00000000-0005-0000-0000-00001F1F0000}"/>
    <cellStyle name="Normal 9 2 3 2 2 6 2" xfId="6951" xr:uid="{00000000-0005-0000-0000-0000201F0000}"/>
    <cellStyle name="Normal 9 2 3 2 2 6 2 2" xfId="15401" xr:uid="{518554EE-C1BC-494A-953E-40039520032B}"/>
    <cellStyle name="Normal 9 2 3 2 2 6 3" xfId="11183" xr:uid="{2C3BA37D-45B8-450C-8AFC-4C0657E9071C}"/>
    <cellStyle name="Normal 9 2 3 2 2 7" xfId="4886" xr:uid="{00000000-0005-0000-0000-0000211F0000}"/>
    <cellStyle name="Normal 9 2 3 2 2 7 2" xfId="13336" xr:uid="{43154244-B8FE-41F1-A59D-04DB1BBC523F}"/>
    <cellStyle name="Normal 9 2 3 2 2 8" xfId="9118" xr:uid="{70C33C15-0E00-4C71-B08F-14DD13FA770F}"/>
    <cellStyle name="Normal 9 2 3 2 3" xfId="988" xr:uid="{00000000-0005-0000-0000-0000221F0000}"/>
    <cellStyle name="Normal 9 2 3 2 3 2" xfId="3221" xr:uid="{00000000-0005-0000-0000-0000231F0000}"/>
    <cellStyle name="Normal 9 2 3 2 3 2 2" xfId="7443" xr:uid="{00000000-0005-0000-0000-0000241F0000}"/>
    <cellStyle name="Normal 9 2 3 2 3 2 2 2" xfId="15893" xr:uid="{4A8E1617-46A5-49AB-8A18-706C21B1C164}"/>
    <cellStyle name="Normal 9 2 3 2 3 2 3" xfId="11675" xr:uid="{C7979239-7220-4D3D-9DFD-DBEFAC223666}"/>
    <cellStyle name="Normal 9 2 3 2 3 3" xfId="5298" xr:uid="{00000000-0005-0000-0000-0000251F0000}"/>
    <cellStyle name="Normal 9 2 3 2 3 3 2" xfId="13748" xr:uid="{FB23B72B-991B-4745-AB94-D3CA6A3E953A}"/>
    <cellStyle name="Normal 9 2 3 2 3 4" xfId="9530" xr:uid="{D679420F-DD92-495D-B480-0CF926B8C13E}"/>
    <cellStyle name="Normal 9 2 3 2 4" xfId="1404" xr:uid="{00000000-0005-0000-0000-0000261F0000}"/>
    <cellStyle name="Normal 9 2 3 2 4 2" xfId="3634" xr:uid="{00000000-0005-0000-0000-0000271F0000}"/>
    <cellStyle name="Normal 9 2 3 2 4 2 2" xfId="7856" xr:uid="{00000000-0005-0000-0000-0000281F0000}"/>
    <cellStyle name="Normal 9 2 3 2 4 2 2 2" xfId="16306" xr:uid="{903666C4-BB9F-4E7E-98EB-1FE844B07604}"/>
    <cellStyle name="Normal 9 2 3 2 4 2 3" xfId="12088" xr:uid="{3C307737-41CA-496D-81A7-7CD6F8A95BDE}"/>
    <cellStyle name="Normal 9 2 3 2 4 3" xfId="5711" xr:uid="{00000000-0005-0000-0000-0000291F0000}"/>
    <cellStyle name="Normal 9 2 3 2 4 3 2" xfId="14161" xr:uid="{B1AE8DD9-A519-47DE-A0F3-4E2D8F255E14}"/>
    <cellStyle name="Normal 9 2 3 2 4 4" xfId="9943" xr:uid="{E12D52D2-C8BC-4FCE-A75B-95707FE1855B}"/>
    <cellStyle name="Normal 9 2 3 2 5" xfId="1817" xr:uid="{00000000-0005-0000-0000-00002A1F0000}"/>
    <cellStyle name="Normal 9 2 3 2 5 2" xfId="4047" xr:uid="{00000000-0005-0000-0000-00002B1F0000}"/>
    <cellStyle name="Normal 9 2 3 2 5 2 2" xfId="8269" xr:uid="{00000000-0005-0000-0000-00002C1F0000}"/>
    <cellStyle name="Normal 9 2 3 2 5 2 2 2" xfId="16719" xr:uid="{43D33BBC-5B5E-46B0-BBE3-A6B204C0CA65}"/>
    <cellStyle name="Normal 9 2 3 2 5 2 3" xfId="12501" xr:uid="{F0CBCD0F-0751-4F69-8824-5F2DB0255191}"/>
    <cellStyle name="Normal 9 2 3 2 5 3" xfId="6124" xr:uid="{00000000-0005-0000-0000-00002D1F0000}"/>
    <cellStyle name="Normal 9 2 3 2 5 3 2" xfId="14574" xr:uid="{6C7672C8-0C96-4888-9300-DE2FA4F43C0B}"/>
    <cellStyle name="Normal 9 2 3 2 5 4" xfId="10356" xr:uid="{73058DE7-CCA5-4233-92FE-8A65C6908761}"/>
    <cellStyle name="Normal 9 2 3 2 6" xfId="2231" xr:uid="{00000000-0005-0000-0000-00002E1F0000}"/>
    <cellStyle name="Normal 9 2 3 2 6 2" xfId="4460" xr:uid="{00000000-0005-0000-0000-00002F1F0000}"/>
    <cellStyle name="Normal 9 2 3 2 6 2 2" xfId="8682" xr:uid="{00000000-0005-0000-0000-0000301F0000}"/>
    <cellStyle name="Normal 9 2 3 2 6 2 2 2" xfId="17132" xr:uid="{571EF758-6DC3-4FD4-B13D-84594988C911}"/>
    <cellStyle name="Normal 9 2 3 2 6 2 3" xfId="12914" xr:uid="{68966111-2889-4E1A-97E5-23A204ED2F5F}"/>
    <cellStyle name="Normal 9 2 3 2 6 3" xfId="6537" xr:uid="{00000000-0005-0000-0000-0000311F0000}"/>
    <cellStyle name="Normal 9 2 3 2 6 3 2" xfId="14987" xr:uid="{FA2EBC4C-4F1C-4B4E-A63E-A6506C710A98}"/>
    <cellStyle name="Normal 9 2 3 2 6 4" xfId="10769" xr:uid="{286B0CE4-C9B3-404A-BB15-D83496896AE8}"/>
    <cellStyle name="Normal 9 2 3 2 7" xfId="2667" xr:uid="{00000000-0005-0000-0000-0000321F0000}"/>
    <cellStyle name="Normal 9 2 3 2 7 2" xfId="6950" xr:uid="{00000000-0005-0000-0000-0000331F0000}"/>
    <cellStyle name="Normal 9 2 3 2 7 2 2" xfId="15400" xr:uid="{E5AD10B1-3146-486A-A4DF-547EC0CB2274}"/>
    <cellStyle name="Normal 9 2 3 2 7 3" xfId="11182" xr:uid="{00BB4083-14C3-4DA9-8747-2399BD2F6E91}"/>
    <cellStyle name="Normal 9 2 3 2 8" xfId="4885" xr:uid="{00000000-0005-0000-0000-0000341F0000}"/>
    <cellStyle name="Normal 9 2 3 2 8 2" xfId="13335" xr:uid="{887386A8-FC27-4380-8A0B-F9EF302BF409}"/>
    <cellStyle name="Normal 9 2 3 2 9" xfId="9117" xr:uid="{39F50119-C21C-4983-B2D0-56A2E8993186}"/>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2 2 2" xfId="15895" xr:uid="{09BD41CE-BB3A-4A86-8EF9-5E84673CB87A}"/>
    <cellStyle name="Normal 9 2 3 3 2 2 3" xfId="11677" xr:uid="{97D7F4DD-CEC0-4197-99EA-B5C7F79D6524}"/>
    <cellStyle name="Normal 9 2 3 3 2 3" xfId="5300" xr:uid="{00000000-0005-0000-0000-0000391F0000}"/>
    <cellStyle name="Normal 9 2 3 3 2 3 2" xfId="13750" xr:uid="{3717B910-8780-467F-8F58-D3FE1FFDEC68}"/>
    <cellStyle name="Normal 9 2 3 3 2 4" xfId="9532" xr:uid="{90F0D8EE-291F-4C64-B25B-FFAB1E42F459}"/>
    <cellStyle name="Normal 9 2 3 3 3" xfId="1406" xr:uid="{00000000-0005-0000-0000-00003A1F0000}"/>
    <cellStyle name="Normal 9 2 3 3 3 2" xfId="3636" xr:uid="{00000000-0005-0000-0000-00003B1F0000}"/>
    <cellStyle name="Normal 9 2 3 3 3 2 2" xfId="7858" xr:uid="{00000000-0005-0000-0000-00003C1F0000}"/>
    <cellStyle name="Normal 9 2 3 3 3 2 2 2" xfId="16308" xr:uid="{CAC47B79-9CEF-4E62-8C97-52759C21B060}"/>
    <cellStyle name="Normal 9 2 3 3 3 2 3" xfId="12090" xr:uid="{9AD6EF9A-9F8A-4D30-9BCF-57C9486819C9}"/>
    <cellStyle name="Normal 9 2 3 3 3 3" xfId="5713" xr:uid="{00000000-0005-0000-0000-00003D1F0000}"/>
    <cellStyle name="Normal 9 2 3 3 3 3 2" xfId="14163" xr:uid="{01D37254-D122-4D44-8B7D-404ED7840C4A}"/>
    <cellStyle name="Normal 9 2 3 3 3 4" xfId="9945" xr:uid="{27C46692-EA31-4733-BD41-B44AD9DB7B15}"/>
    <cellStyle name="Normal 9 2 3 3 4" xfId="1819" xr:uid="{00000000-0005-0000-0000-00003E1F0000}"/>
    <cellStyle name="Normal 9 2 3 3 4 2" xfId="4049" xr:uid="{00000000-0005-0000-0000-00003F1F0000}"/>
    <cellStyle name="Normal 9 2 3 3 4 2 2" xfId="8271" xr:uid="{00000000-0005-0000-0000-0000401F0000}"/>
    <cellStyle name="Normal 9 2 3 3 4 2 2 2" xfId="16721" xr:uid="{0DC6C946-47FD-4823-997F-C83F6BC68C0A}"/>
    <cellStyle name="Normal 9 2 3 3 4 2 3" xfId="12503" xr:uid="{4D5E7BAF-BBCE-42F6-9B49-9FEA7FB3EF3D}"/>
    <cellStyle name="Normal 9 2 3 3 4 3" xfId="6126" xr:uid="{00000000-0005-0000-0000-0000411F0000}"/>
    <cellStyle name="Normal 9 2 3 3 4 3 2" xfId="14576" xr:uid="{955F39B6-986D-4DD8-A700-E01CCF1A35DA}"/>
    <cellStyle name="Normal 9 2 3 3 4 4" xfId="10358" xr:uid="{29B14A6B-E97D-4F56-87B1-899E3CBC2794}"/>
    <cellStyle name="Normal 9 2 3 3 5" xfId="2233" xr:uid="{00000000-0005-0000-0000-0000421F0000}"/>
    <cellStyle name="Normal 9 2 3 3 5 2" xfId="4462" xr:uid="{00000000-0005-0000-0000-0000431F0000}"/>
    <cellStyle name="Normal 9 2 3 3 5 2 2" xfId="8684" xr:uid="{00000000-0005-0000-0000-0000441F0000}"/>
    <cellStyle name="Normal 9 2 3 3 5 2 2 2" xfId="17134" xr:uid="{C0F87D98-89DD-4C4B-AFC4-E54DC38DCEBD}"/>
    <cellStyle name="Normal 9 2 3 3 5 2 3" xfId="12916" xr:uid="{DBE96A60-3783-45FB-B820-E20EDB6EE86A}"/>
    <cellStyle name="Normal 9 2 3 3 5 3" xfId="6539" xr:uid="{00000000-0005-0000-0000-0000451F0000}"/>
    <cellStyle name="Normal 9 2 3 3 5 3 2" xfId="14989" xr:uid="{43D0004D-8C55-4DDD-84DB-C3C3F95ED98A}"/>
    <cellStyle name="Normal 9 2 3 3 5 4" xfId="10771" xr:uid="{3495ACB3-7CAD-433E-9770-BA66BB64016B}"/>
    <cellStyle name="Normal 9 2 3 3 6" xfId="2669" xr:uid="{00000000-0005-0000-0000-0000461F0000}"/>
    <cellStyle name="Normal 9 2 3 3 6 2" xfId="6952" xr:uid="{00000000-0005-0000-0000-0000471F0000}"/>
    <cellStyle name="Normal 9 2 3 3 6 2 2" xfId="15402" xr:uid="{24A5CB16-5911-43FC-B0E3-04579B541EE0}"/>
    <cellStyle name="Normal 9 2 3 3 6 3" xfId="11184" xr:uid="{3A39F369-F5FF-45FC-9740-4A9E9E7D0BE5}"/>
    <cellStyle name="Normal 9 2 3 3 7" xfId="4887" xr:uid="{00000000-0005-0000-0000-0000481F0000}"/>
    <cellStyle name="Normal 9 2 3 3 7 2" xfId="13337" xr:uid="{CAE69857-AEE7-4715-9DA3-3D6639BEAE29}"/>
    <cellStyle name="Normal 9 2 3 3 8" xfId="9119" xr:uid="{BFD18779-ED66-4764-93CE-EEEDB140D493}"/>
    <cellStyle name="Normal 9 2 3 4" xfId="987" xr:uid="{00000000-0005-0000-0000-0000491F0000}"/>
    <cellStyle name="Normal 9 2 3 4 2" xfId="3220" xr:uid="{00000000-0005-0000-0000-00004A1F0000}"/>
    <cellStyle name="Normal 9 2 3 4 2 2" xfId="7442" xr:uid="{00000000-0005-0000-0000-00004B1F0000}"/>
    <cellStyle name="Normal 9 2 3 4 2 2 2" xfId="15892" xr:uid="{C88EDF26-3907-4D07-8810-AC42048C2DE9}"/>
    <cellStyle name="Normal 9 2 3 4 2 3" xfId="11674" xr:uid="{5E0F4E33-735A-42F3-8312-E8E20478E3B0}"/>
    <cellStyle name="Normal 9 2 3 4 3" xfId="5297" xr:uid="{00000000-0005-0000-0000-00004C1F0000}"/>
    <cellStyle name="Normal 9 2 3 4 3 2" xfId="13747" xr:uid="{A7CBF121-D1FD-4CC4-8F29-3C3F4CE47FF3}"/>
    <cellStyle name="Normal 9 2 3 4 4" xfId="9529" xr:uid="{0B153B80-38E3-4AF1-B2C8-B34771E641AE}"/>
    <cellStyle name="Normal 9 2 3 5" xfId="1403" xr:uid="{00000000-0005-0000-0000-00004D1F0000}"/>
    <cellStyle name="Normal 9 2 3 5 2" xfId="3633" xr:uid="{00000000-0005-0000-0000-00004E1F0000}"/>
    <cellStyle name="Normal 9 2 3 5 2 2" xfId="7855" xr:uid="{00000000-0005-0000-0000-00004F1F0000}"/>
    <cellStyle name="Normal 9 2 3 5 2 2 2" xfId="16305" xr:uid="{37965C89-CEF1-4BF5-85F3-7325BCED955D}"/>
    <cellStyle name="Normal 9 2 3 5 2 3" xfId="12087" xr:uid="{E355DBB0-854A-4C49-990A-33332EF16BE4}"/>
    <cellStyle name="Normal 9 2 3 5 3" xfId="5710" xr:uid="{00000000-0005-0000-0000-0000501F0000}"/>
    <cellStyle name="Normal 9 2 3 5 3 2" xfId="14160" xr:uid="{C1326F08-04C8-4E76-86E2-66E9A27576CF}"/>
    <cellStyle name="Normal 9 2 3 5 4" xfId="9942" xr:uid="{72894773-74EA-42E0-822C-80B51B8FA33F}"/>
    <cellStyle name="Normal 9 2 3 6" xfId="1816" xr:uid="{00000000-0005-0000-0000-0000511F0000}"/>
    <cellStyle name="Normal 9 2 3 6 2" xfId="4046" xr:uid="{00000000-0005-0000-0000-0000521F0000}"/>
    <cellStyle name="Normal 9 2 3 6 2 2" xfId="8268" xr:uid="{00000000-0005-0000-0000-0000531F0000}"/>
    <cellStyle name="Normal 9 2 3 6 2 2 2" xfId="16718" xr:uid="{2D348874-790A-4863-A56A-8DDF76DFA0CF}"/>
    <cellStyle name="Normal 9 2 3 6 2 3" xfId="12500" xr:uid="{6D8AA404-5ABB-4B21-82E6-3F42FA6FB6AC}"/>
    <cellStyle name="Normal 9 2 3 6 3" xfId="6123" xr:uid="{00000000-0005-0000-0000-0000541F0000}"/>
    <cellStyle name="Normal 9 2 3 6 3 2" xfId="14573" xr:uid="{7785D21E-7C9B-43A5-A80A-CD28A52350E2}"/>
    <cellStyle name="Normal 9 2 3 6 4" xfId="10355" xr:uid="{EF30BF7E-01A1-4109-9941-D66F1174A9D2}"/>
    <cellStyle name="Normal 9 2 3 7" xfId="2230" xr:uid="{00000000-0005-0000-0000-0000551F0000}"/>
    <cellStyle name="Normal 9 2 3 7 2" xfId="4459" xr:uid="{00000000-0005-0000-0000-0000561F0000}"/>
    <cellStyle name="Normal 9 2 3 7 2 2" xfId="8681" xr:uid="{00000000-0005-0000-0000-0000571F0000}"/>
    <cellStyle name="Normal 9 2 3 7 2 2 2" xfId="17131" xr:uid="{8EE5938D-CAE7-4BF4-8C2A-A43FB6776A23}"/>
    <cellStyle name="Normal 9 2 3 7 2 3" xfId="12913" xr:uid="{D36BFBA2-4639-4255-A021-67BE38EEA931}"/>
    <cellStyle name="Normal 9 2 3 7 3" xfId="6536" xr:uid="{00000000-0005-0000-0000-0000581F0000}"/>
    <cellStyle name="Normal 9 2 3 7 3 2" xfId="14986" xr:uid="{C06E6F1A-A4EE-4D97-A171-4E788C741DFC}"/>
    <cellStyle name="Normal 9 2 3 7 4" xfId="10768" xr:uid="{E431950C-4FFE-4BB2-B5C9-A2E08C9DF3B8}"/>
    <cellStyle name="Normal 9 2 3 8" xfId="2666" xr:uid="{00000000-0005-0000-0000-0000591F0000}"/>
    <cellStyle name="Normal 9 2 3 8 2" xfId="6949" xr:uid="{00000000-0005-0000-0000-00005A1F0000}"/>
    <cellStyle name="Normal 9 2 3 8 2 2" xfId="15399" xr:uid="{965CC588-0868-4B3F-A673-7BDCBBDD6669}"/>
    <cellStyle name="Normal 9 2 3 8 3" xfId="11181" xr:uid="{B98B3F83-D43E-4F73-839D-18DA7252FBCB}"/>
    <cellStyle name="Normal 9 2 3 9" xfId="4884" xr:uid="{00000000-0005-0000-0000-00005B1F0000}"/>
    <cellStyle name="Normal 9 2 3 9 2" xfId="13334" xr:uid="{622EF954-9FFA-412D-AB27-E2F37E9D1153}"/>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2 2 2" xfId="15897" xr:uid="{BD5AB72A-73BC-4A7B-90FB-DA676CE72324}"/>
    <cellStyle name="Normal 9 2 4 2 2 2 3" xfId="11679" xr:uid="{49499716-EEC3-4212-8044-2D17B7A1A561}"/>
    <cellStyle name="Normal 9 2 4 2 2 3" xfId="5302" xr:uid="{00000000-0005-0000-0000-0000611F0000}"/>
    <cellStyle name="Normal 9 2 4 2 2 3 2" xfId="13752" xr:uid="{2D75F896-B0C1-43AE-A9DB-C12D6BF0AC10}"/>
    <cellStyle name="Normal 9 2 4 2 2 4" xfId="9534" xr:uid="{3CB8B144-9CD0-4961-8B08-1C2D91F2B5E2}"/>
    <cellStyle name="Normal 9 2 4 2 3" xfId="1408" xr:uid="{00000000-0005-0000-0000-0000621F0000}"/>
    <cellStyle name="Normal 9 2 4 2 3 2" xfId="3638" xr:uid="{00000000-0005-0000-0000-0000631F0000}"/>
    <cellStyle name="Normal 9 2 4 2 3 2 2" xfId="7860" xr:uid="{00000000-0005-0000-0000-0000641F0000}"/>
    <cellStyle name="Normal 9 2 4 2 3 2 2 2" xfId="16310" xr:uid="{58AB075F-67C2-4460-A2FF-350A652C02C1}"/>
    <cellStyle name="Normal 9 2 4 2 3 2 3" xfId="12092" xr:uid="{410C773C-F49F-4BA3-997E-D941763BED89}"/>
    <cellStyle name="Normal 9 2 4 2 3 3" xfId="5715" xr:uid="{00000000-0005-0000-0000-0000651F0000}"/>
    <cellStyle name="Normal 9 2 4 2 3 3 2" xfId="14165" xr:uid="{C4DB3716-E80B-4618-BC56-DE7EBAF677E6}"/>
    <cellStyle name="Normal 9 2 4 2 3 4" xfId="9947" xr:uid="{E013F6FC-CF18-41F7-AF88-F55644F19770}"/>
    <cellStyle name="Normal 9 2 4 2 4" xfId="1821" xr:uid="{00000000-0005-0000-0000-0000661F0000}"/>
    <cellStyle name="Normal 9 2 4 2 4 2" xfId="4051" xr:uid="{00000000-0005-0000-0000-0000671F0000}"/>
    <cellStyle name="Normal 9 2 4 2 4 2 2" xfId="8273" xr:uid="{00000000-0005-0000-0000-0000681F0000}"/>
    <cellStyle name="Normal 9 2 4 2 4 2 2 2" xfId="16723" xr:uid="{538AA1FA-F496-4AC2-9897-433C79B0429C}"/>
    <cellStyle name="Normal 9 2 4 2 4 2 3" xfId="12505" xr:uid="{00B8F5F1-B95D-47CA-BF04-0CF540EC0196}"/>
    <cellStyle name="Normal 9 2 4 2 4 3" xfId="6128" xr:uid="{00000000-0005-0000-0000-0000691F0000}"/>
    <cellStyle name="Normal 9 2 4 2 4 3 2" xfId="14578" xr:uid="{047A4805-C86C-41F3-B973-3525D3F9ABEF}"/>
    <cellStyle name="Normal 9 2 4 2 4 4" xfId="10360" xr:uid="{58871849-0548-47B8-94C8-CC9318137E45}"/>
    <cellStyle name="Normal 9 2 4 2 5" xfId="2235" xr:uid="{00000000-0005-0000-0000-00006A1F0000}"/>
    <cellStyle name="Normal 9 2 4 2 5 2" xfId="4464" xr:uid="{00000000-0005-0000-0000-00006B1F0000}"/>
    <cellStyle name="Normal 9 2 4 2 5 2 2" xfId="8686" xr:uid="{00000000-0005-0000-0000-00006C1F0000}"/>
    <cellStyle name="Normal 9 2 4 2 5 2 2 2" xfId="17136" xr:uid="{A6C2B246-C51F-47FF-9C0A-98DF4D5203FB}"/>
    <cellStyle name="Normal 9 2 4 2 5 2 3" xfId="12918" xr:uid="{7F309CD7-7CF4-49B6-B12C-3C18D9BB45A9}"/>
    <cellStyle name="Normal 9 2 4 2 5 3" xfId="6541" xr:uid="{00000000-0005-0000-0000-00006D1F0000}"/>
    <cellStyle name="Normal 9 2 4 2 5 3 2" xfId="14991" xr:uid="{054840ED-D610-4DFE-B11B-CF6893C0FE30}"/>
    <cellStyle name="Normal 9 2 4 2 5 4" xfId="10773" xr:uid="{7D0EFF44-6182-4143-989F-4631E090B8B9}"/>
    <cellStyle name="Normal 9 2 4 2 6" xfId="2671" xr:uid="{00000000-0005-0000-0000-00006E1F0000}"/>
    <cellStyle name="Normal 9 2 4 2 6 2" xfId="6954" xr:uid="{00000000-0005-0000-0000-00006F1F0000}"/>
    <cellStyle name="Normal 9 2 4 2 6 2 2" xfId="15404" xr:uid="{9ACE82E9-0A49-469B-8FC4-C037E45A7A62}"/>
    <cellStyle name="Normal 9 2 4 2 6 3" xfId="11186" xr:uid="{4F10AF1B-4AEE-4CDB-8DE4-7CD29A60DB5D}"/>
    <cellStyle name="Normal 9 2 4 2 7" xfId="4889" xr:uid="{00000000-0005-0000-0000-0000701F0000}"/>
    <cellStyle name="Normal 9 2 4 2 7 2" xfId="13339" xr:uid="{93E12282-3459-4DA6-9D42-F95393F52803}"/>
    <cellStyle name="Normal 9 2 4 2 8" xfId="9121" xr:uid="{53508A5B-B369-4BC0-B33E-186440206B49}"/>
    <cellStyle name="Normal 9 2 4 3" xfId="991" xr:uid="{00000000-0005-0000-0000-0000711F0000}"/>
    <cellStyle name="Normal 9 2 4 3 2" xfId="3224" xr:uid="{00000000-0005-0000-0000-0000721F0000}"/>
    <cellStyle name="Normal 9 2 4 3 2 2" xfId="7446" xr:uid="{00000000-0005-0000-0000-0000731F0000}"/>
    <cellStyle name="Normal 9 2 4 3 2 2 2" xfId="15896" xr:uid="{2AE598C2-8F08-4C10-ACAD-87C264534BE8}"/>
    <cellStyle name="Normal 9 2 4 3 2 3" xfId="11678" xr:uid="{43BE79B0-AB7D-4253-8DC4-3ECAB4691B9F}"/>
    <cellStyle name="Normal 9 2 4 3 3" xfId="5301" xr:uid="{00000000-0005-0000-0000-0000741F0000}"/>
    <cellStyle name="Normal 9 2 4 3 3 2" xfId="13751" xr:uid="{FA3F6046-AFEB-408A-BCF9-23CC0A77F6CD}"/>
    <cellStyle name="Normal 9 2 4 3 4" xfId="9533" xr:uid="{8C061106-D68E-484F-B406-DD0451C726F3}"/>
    <cellStyle name="Normal 9 2 4 4" xfId="1407" xr:uid="{00000000-0005-0000-0000-0000751F0000}"/>
    <cellStyle name="Normal 9 2 4 4 2" xfId="3637" xr:uid="{00000000-0005-0000-0000-0000761F0000}"/>
    <cellStyle name="Normal 9 2 4 4 2 2" xfId="7859" xr:uid="{00000000-0005-0000-0000-0000771F0000}"/>
    <cellStyle name="Normal 9 2 4 4 2 2 2" xfId="16309" xr:uid="{5A42989C-EF25-40EB-B6FE-30446E23F162}"/>
    <cellStyle name="Normal 9 2 4 4 2 3" xfId="12091" xr:uid="{1E645459-241A-416C-AFA8-D94437E209A3}"/>
    <cellStyle name="Normal 9 2 4 4 3" xfId="5714" xr:uid="{00000000-0005-0000-0000-0000781F0000}"/>
    <cellStyle name="Normal 9 2 4 4 3 2" xfId="14164" xr:uid="{713FE856-CF18-4FB4-BA2C-DB339D75B62D}"/>
    <cellStyle name="Normal 9 2 4 4 4" xfId="9946" xr:uid="{C0EDAFCF-FAFE-4066-9DBE-CE6B2FD6F69E}"/>
    <cellStyle name="Normal 9 2 4 5" xfId="1820" xr:uid="{00000000-0005-0000-0000-0000791F0000}"/>
    <cellStyle name="Normal 9 2 4 5 2" xfId="4050" xr:uid="{00000000-0005-0000-0000-00007A1F0000}"/>
    <cellStyle name="Normal 9 2 4 5 2 2" xfId="8272" xr:uid="{00000000-0005-0000-0000-00007B1F0000}"/>
    <cellStyle name="Normal 9 2 4 5 2 2 2" xfId="16722" xr:uid="{B22A7308-6C1E-488D-977F-B29F848AC2BE}"/>
    <cellStyle name="Normal 9 2 4 5 2 3" xfId="12504" xr:uid="{925802C3-067D-4035-B380-9A932969B5FC}"/>
    <cellStyle name="Normal 9 2 4 5 3" xfId="6127" xr:uid="{00000000-0005-0000-0000-00007C1F0000}"/>
    <cellStyle name="Normal 9 2 4 5 3 2" xfId="14577" xr:uid="{10A94801-5F06-4FAD-AEAA-6F2203D296E4}"/>
    <cellStyle name="Normal 9 2 4 5 4" xfId="10359" xr:uid="{E36000CC-5A0B-4E9E-B19D-8586EC042B10}"/>
    <cellStyle name="Normal 9 2 4 6" xfId="2234" xr:uid="{00000000-0005-0000-0000-00007D1F0000}"/>
    <cellStyle name="Normal 9 2 4 6 2" xfId="4463" xr:uid="{00000000-0005-0000-0000-00007E1F0000}"/>
    <cellStyle name="Normal 9 2 4 6 2 2" xfId="8685" xr:uid="{00000000-0005-0000-0000-00007F1F0000}"/>
    <cellStyle name="Normal 9 2 4 6 2 2 2" xfId="17135" xr:uid="{63A92A25-2928-4AEB-8CB7-F0016DBE0CC0}"/>
    <cellStyle name="Normal 9 2 4 6 2 3" xfId="12917" xr:uid="{A04077E8-AFEC-4930-9EFA-7FA88D2F313E}"/>
    <cellStyle name="Normal 9 2 4 6 3" xfId="6540" xr:uid="{00000000-0005-0000-0000-0000801F0000}"/>
    <cellStyle name="Normal 9 2 4 6 3 2" xfId="14990" xr:uid="{590E2477-5A40-4132-AABC-695B3665B644}"/>
    <cellStyle name="Normal 9 2 4 6 4" xfId="10772" xr:uid="{CA76453D-DC24-4C85-A2BA-F858FECD0A56}"/>
    <cellStyle name="Normal 9 2 4 7" xfId="2670" xr:uid="{00000000-0005-0000-0000-0000811F0000}"/>
    <cellStyle name="Normal 9 2 4 7 2" xfId="6953" xr:uid="{00000000-0005-0000-0000-0000821F0000}"/>
    <cellStyle name="Normal 9 2 4 7 2 2" xfId="15403" xr:uid="{8FC39B21-2C01-4542-9C38-97664437DDE6}"/>
    <cellStyle name="Normal 9 2 4 7 3" xfId="11185" xr:uid="{332D3AE5-F2EA-40E3-966C-1149B57792EC}"/>
    <cellStyle name="Normal 9 2 4 8" xfId="4888" xr:uid="{00000000-0005-0000-0000-0000831F0000}"/>
    <cellStyle name="Normal 9 2 4 8 2" xfId="13338" xr:uid="{B3B45C75-B779-48C6-9C21-27A9CA4128BE}"/>
    <cellStyle name="Normal 9 2 4 9" xfId="9120" xr:uid="{27AA5F55-9957-4539-8CAD-E0178E8C56FD}"/>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2 2 2" xfId="15898" xr:uid="{539976B9-0A81-4B75-B325-5B706D284D03}"/>
    <cellStyle name="Normal 9 2 5 2 2 3" xfId="11680" xr:uid="{AF0A86ED-97CB-4FE6-B29A-4B119FC67A38}"/>
    <cellStyle name="Normal 9 2 5 2 3" xfId="5303" xr:uid="{00000000-0005-0000-0000-0000881F0000}"/>
    <cellStyle name="Normal 9 2 5 2 3 2" xfId="13753" xr:uid="{A6C59B61-9C25-4DF3-A58E-E3A5D7BCEB88}"/>
    <cellStyle name="Normal 9 2 5 2 4" xfId="9535" xr:uid="{C0AED416-C6FE-4A51-83A5-953FC0F09890}"/>
    <cellStyle name="Normal 9 2 5 3" xfId="1409" xr:uid="{00000000-0005-0000-0000-0000891F0000}"/>
    <cellStyle name="Normal 9 2 5 3 2" xfId="3639" xr:uid="{00000000-0005-0000-0000-00008A1F0000}"/>
    <cellStyle name="Normal 9 2 5 3 2 2" xfId="7861" xr:uid="{00000000-0005-0000-0000-00008B1F0000}"/>
    <cellStyle name="Normal 9 2 5 3 2 2 2" xfId="16311" xr:uid="{58B61F8D-CFCE-4C13-AED2-97D54BDEFF46}"/>
    <cellStyle name="Normal 9 2 5 3 2 3" xfId="12093" xr:uid="{30A00C88-166B-43AB-8456-67880DF3AD0D}"/>
    <cellStyle name="Normal 9 2 5 3 3" xfId="5716" xr:uid="{00000000-0005-0000-0000-00008C1F0000}"/>
    <cellStyle name="Normal 9 2 5 3 3 2" xfId="14166" xr:uid="{FE6B2A8A-A504-4B40-B573-369AB5C2398B}"/>
    <cellStyle name="Normal 9 2 5 3 4" xfId="9948" xr:uid="{5C3E34CD-D216-4ED2-B741-BDB37CB0BA50}"/>
    <cellStyle name="Normal 9 2 5 4" xfId="1822" xr:uid="{00000000-0005-0000-0000-00008D1F0000}"/>
    <cellStyle name="Normal 9 2 5 4 2" xfId="4052" xr:uid="{00000000-0005-0000-0000-00008E1F0000}"/>
    <cellStyle name="Normal 9 2 5 4 2 2" xfId="8274" xr:uid="{00000000-0005-0000-0000-00008F1F0000}"/>
    <cellStyle name="Normal 9 2 5 4 2 2 2" xfId="16724" xr:uid="{2E244AD4-8345-4243-99C1-B55E22998623}"/>
    <cellStyle name="Normal 9 2 5 4 2 3" xfId="12506" xr:uid="{D08AEDA8-1919-45FD-85D5-03E1149BC158}"/>
    <cellStyle name="Normal 9 2 5 4 3" xfId="6129" xr:uid="{00000000-0005-0000-0000-0000901F0000}"/>
    <cellStyle name="Normal 9 2 5 4 3 2" xfId="14579" xr:uid="{95046421-7942-4B9C-AD87-BCBB3E8A8E4C}"/>
    <cellStyle name="Normal 9 2 5 4 4" xfId="10361" xr:uid="{4A73A8CD-6593-42A0-8039-A0137260D1CD}"/>
    <cellStyle name="Normal 9 2 5 5" xfId="2236" xr:uid="{00000000-0005-0000-0000-0000911F0000}"/>
    <cellStyle name="Normal 9 2 5 5 2" xfId="4465" xr:uid="{00000000-0005-0000-0000-0000921F0000}"/>
    <cellStyle name="Normal 9 2 5 5 2 2" xfId="8687" xr:uid="{00000000-0005-0000-0000-0000931F0000}"/>
    <cellStyle name="Normal 9 2 5 5 2 2 2" xfId="17137" xr:uid="{20BF8853-A31A-4DE9-9A81-CB86C2BD95EF}"/>
    <cellStyle name="Normal 9 2 5 5 2 3" xfId="12919" xr:uid="{14E40CBD-6141-4DD5-8CE4-13D9E38220B3}"/>
    <cellStyle name="Normal 9 2 5 5 3" xfId="6542" xr:uid="{00000000-0005-0000-0000-0000941F0000}"/>
    <cellStyle name="Normal 9 2 5 5 3 2" xfId="14992" xr:uid="{F60490B1-36AE-4551-832B-2CC3C09267F8}"/>
    <cellStyle name="Normal 9 2 5 5 4" xfId="10774" xr:uid="{78C92993-C10A-443F-B66E-E5D2B9609335}"/>
    <cellStyle name="Normal 9 2 5 6" xfId="2672" xr:uid="{00000000-0005-0000-0000-0000951F0000}"/>
    <cellStyle name="Normal 9 2 5 6 2" xfId="6955" xr:uid="{00000000-0005-0000-0000-0000961F0000}"/>
    <cellStyle name="Normal 9 2 5 6 2 2" xfId="15405" xr:uid="{134DE485-2015-4DA8-933E-A3A865501728}"/>
    <cellStyle name="Normal 9 2 5 6 3" xfId="11187" xr:uid="{57ADBFD6-427F-425E-A890-203F57E86628}"/>
    <cellStyle name="Normal 9 2 5 7" xfId="4890" xr:uid="{00000000-0005-0000-0000-0000971F0000}"/>
    <cellStyle name="Normal 9 2 5 7 2" xfId="13340" xr:uid="{0DD9878A-2C63-437C-A1FC-F10DD9695CA9}"/>
    <cellStyle name="Normal 9 2 5 8" xfId="9122" xr:uid="{54782E58-F877-4115-864E-AE8185ABED62}"/>
    <cellStyle name="Normal 9 2 6" xfId="978" xr:uid="{00000000-0005-0000-0000-0000981F0000}"/>
    <cellStyle name="Normal 9 2 6 2" xfId="3211" xr:uid="{00000000-0005-0000-0000-0000991F0000}"/>
    <cellStyle name="Normal 9 2 6 2 2" xfId="7433" xr:uid="{00000000-0005-0000-0000-00009A1F0000}"/>
    <cellStyle name="Normal 9 2 6 2 2 2" xfId="15883" xr:uid="{D56C2F6F-7D62-4CA6-BCF0-EC7D128B9D0F}"/>
    <cellStyle name="Normal 9 2 6 2 3" xfId="11665" xr:uid="{FEF9E3C5-1AA7-49D4-84C9-9DC1E8BFC510}"/>
    <cellStyle name="Normal 9 2 6 3" xfId="5288" xr:uid="{00000000-0005-0000-0000-00009B1F0000}"/>
    <cellStyle name="Normal 9 2 6 3 2" xfId="13738" xr:uid="{3931A48F-6AA9-4353-8F37-CF00F5421702}"/>
    <cellStyle name="Normal 9 2 6 4" xfId="9520" xr:uid="{65F7711C-265E-4C20-900E-7166484BCB8E}"/>
    <cellStyle name="Normal 9 2 7" xfId="1394" xr:uid="{00000000-0005-0000-0000-00009C1F0000}"/>
    <cellStyle name="Normal 9 2 7 2" xfId="3624" xr:uid="{00000000-0005-0000-0000-00009D1F0000}"/>
    <cellStyle name="Normal 9 2 7 2 2" xfId="7846" xr:uid="{00000000-0005-0000-0000-00009E1F0000}"/>
    <cellStyle name="Normal 9 2 7 2 2 2" xfId="16296" xr:uid="{1EC20E61-BBFC-4DB6-A8AA-D5DE945B7740}"/>
    <cellStyle name="Normal 9 2 7 2 3" xfId="12078" xr:uid="{442A09D6-7330-4BA9-AAB0-AF6280820917}"/>
    <cellStyle name="Normal 9 2 7 3" xfId="5701" xr:uid="{00000000-0005-0000-0000-00009F1F0000}"/>
    <cellStyle name="Normal 9 2 7 3 2" xfId="14151" xr:uid="{0D1C4F5E-3984-4E12-93FC-26F8D2CC6FDF}"/>
    <cellStyle name="Normal 9 2 7 4" xfId="9933" xr:uid="{CA153907-AC60-4BDE-95F0-8AB3446054E6}"/>
    <cellStyle name="Normal 9 2 8" xfId="1807" xr:uid="{00000000-0005-0000-0000-0000A01F0000}"/>
    <cellStyle name="Normal 9 2 8 2" xfId="4037" xr:uid="{00000000-0005-0000-0000-0000A11F0000}"/>
    <cellStyle name="Normal 9 2 8 2 2" xfId="8259" xr:uid="{00000000-0005-0000-0000-0000A21F0000}"/>
    <cellStyle name="Normal 9 2 8 2 2 2" xfId="16709" xr:uid="{8224CAEA-A607-482A-A7C7-AD3187FA8FA6}"/>
    <cellStyle name="Normal 9 2 8 2 3" xfId="12491" xr:uid="{83E0C29E-1C99-4E1E-BA8A-B9DA4E044793}"/>
    <cellStyle name="Normal 9 2 8 3" xfId="6114" xr:uid="{00000000-0005-0000-0000-0000A31F0000}"/>
    <cellStyle name="Normal 9 2 8 3 2" xfId="14564" xr:uid="{F869F5D3-8868-4326-94F9-2C563DCE17E1}"/>
    <cellStyle name="Normal 9 2 8 4" xfId="10346" xr:uid="{EB94BE70-D91A-4AD8-ACA6-EDC059C6A920}"/>
    <cellStyle name="Normal 9 2 9" xfId="2221" xr:uid="{00000000-0005-0000-0000-0000A41F0000}"/>
    <cellStyle name="Normal 9 2 9 2" xfId="4450" xr:uid="{00000000-0005-0000-0000-0000A51F0000}"/>
    <cellStyle name="Normal 9 2 9 2 2" xfId="8672" xr:uid="{00000000-0005-0000-0000-0000A61F0000}"/>
    <cellStyle name="Normal 9 2 9 2 2 2" xfId="17122" xr:uid="{000A7BE2-599C-4732-9008-28C6131E4EEB}"/>
    <cellStyle name="Normal 9 2 9 2 3" xfId="12904" xr:uid="{F9FDDBCE-6444-4F28-83CF-AEFE8A56BF15}"/>
    <cellStyle name="Normal 9 2 9 3" xfId="6527" xr:uid="{00000000-0005-0000-0000-0000A71F0000}"/>
    <cellStyle name="Normal 9 2 9 3 2" xfId="14977" xr:uid="{F2AE46E4-5CA3-44AF-BF97-95AB57EC7D0B}"/>
    <cellStyle name="Normal 9 2 9 4" xfId="10759" xr:uid="{219CC5F6-AE6E-49BD-90D5-0844556EADBA}"/>
    <cellStyle name="Normal 9 3" xfId="527" xr:uid="{00000000-0005-0000-0000-0000A81F0000}"/>
    <cellStyle name="Normal 9 3 10" xfId="4891" xr:uid="{00000000-0005-0000-0000-0000A91F0000}"/>
    <cellStyle name="Normal 9 3 10 2" xfId="13341" xr:uid="{1EB156DE-DE3D-4AAD-B39B-ABFAAAF11B6C}"/>
    <cellStyle name="Normal 9 3 11" xfId="9123" xr:uid="{745A6EE4-BE36-47BD-BD29-A43BDCB1DA82}"/>
    <cellStyle name="Normal 9 3 2" xfId="528" xr:uid="{00000000-0005-0000-0000-0000AA1F0000}"/>
    <cellStyle name="Normal 9 3 2 10" xfId="9124" xr:uid="{9F864FE2-4D02-4C60-B904-946282BB7482}"/>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2 2 2" xfId="15902" xr:uid="{5BE19EDB-A768-4ED9-ADF3-CC78DA7DF6EF}"/>
    <cellStyle name="Normal 9 3 2 2 2 2 2 3" xfId="11684" xr:uid="{874DC23C-F7E8-4042-A637-0C2AEE6E8D84}"/>
    <cellStyle name="Normal 9 3 2 2 2 2 3" xfId="5307" xr:uid="{00000000-0005-0000-0000-0000B01F0000}"/>
    <cellStyle name="Normal 9 3 2 2 2 2 3 2" xfId="13757" xr:uid="{B73F0C52-92EB-4846-8A72-768F2E57CD62}"/>
    <cellStyle name="Normal 9 3 2 2 2 2 4" xfId="9539" xr:uid="{148302F1-24AE-4F45-87E6-71CAAFB14B6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2 2 2" xfId="16315" xr:uid="{A5C9AD28-0F76-49E3-8527-1F42F043659C}"/>
    <cellStyle name="Normal 9 3 2 2 2 3 2 3" xfId="12097" xr:uid="{0D75B521-ADB0-4D35-806B-FD81D61B3947}"/>
    <cellStyle name="Normal 9 3 2 2 2 3 3" xfId="5720" xr:uid="{00000000-0005-0000-0000-0000B41F0000}"/>
    <cellStyle name="Normal 9 3 2 2 2 3 3 2" xfId="14170" xr:uid="{43775354-5079-49F0-8430-D1160D24E87F}"/>
    <cellStyle name="Normal 9 3 2 2 2 3 4" xfId="9952" xr:uid="{D22AE052-5828-4537-AD69-0D43DEBA9F9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2 2 2" xfId="16728" xr:uid="{5243D0CA-8363-422B-9DCF-E719BAA1491F}"/>
    <cellStyle name="Normal 9 3 2 2 2 4 2 3" xfId="12510" xr:uid="{BDCADAA2-F09D-44BE-968F-910B9B54AEA2}"/>
    <cellStyle name="Normal 9 3 2 2 2 4 3" xfId="6133" xr:uid="{00000000-0005-0000-0000-0000B81F0000}"/>
    <cellStyle name="Normal 9 3 2 2 2 4 3 2" xfId="14583" xr:uid="{0D9143A8-F95C-45C2-8C9D-E31A895C4482}"/>
    <cellStyle name="Normal 9 3 2 2 2 4 4" xfId="10365" xr:uid="{5D81FC96-FC72-4093-9DAB-B892E9D664B3}"/>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2 2 2" xfId="17141" xr:uid="{0FC3D00E-E70D-4D28-B3E3-2FCF5262258A}"/>
    <cellStyle name="Normal 9 3 2 2 2 5 2 3" xfId="12923" xr:uid="{BE42B9B5-A970-4B23-BAF8-07E6EF5F34B3}"/>
    <cellStyle name="Normal 9 3 2 2 2 5 3" xfId="6546" xr:uid="{00000000-0005-0000-0000-0000BC1F0000}"/>
    <cellStyle name="Normal 9 3 2 2 2 5 3 2" xfId="14996" xr:uid="{28F82456-C14A-41DB-A16E-9EFAC78F51D8}"/>
    <cellStyle name="Normal 9 3 2 2 2 5 4" xfId="10778" xr:uid="{78E6A991-F711-489E-915B-2D43A34C77FC}"/>
    <cellStyle name="Normal 9 3 2 2 2 6" xfId="2676" xr:uid="{00000000-0005-0000-0000-0000BD1F0000}"/>
    <cellStyle name="Normal 9 3 2 2 2 6 2" xfId="6959" xr:uid="{00000000-0005-0000-0000-0000BE1F0000}"/>
    <cellStyle name="Normal 9 3 2 2 2 6 2 2" xfId="15409" xr:uid="{55648B6C-25F9-4D1F-96DE-FA84768E0226}"/>
    <cellStyle name="Normal 9 3 2 2 2 6 3" xfId="11191" xr:uid="{F67B9E1E-91CE-480D-A8FE-670288482A34}"/>
    <cellStyle name="Normal 9 3 2 2 2 7" xfId="4894" xr:uid="{00000000-0005-0000-0000-0000BF1F0000}"/>
    <cellStyle name="Normal 9 3 2 2 2 7 2" xfId="13344" xr:uid="{A1ED18CB-BED0-43A3-987E-8D327E9F6552}"/>
    <cellStyle name="Normal 9 3 2 2 2 8" xfId="9126" xr:uid="{5F75AE2D-1513-48CB-8958-C543873ED0A6}"/>
    <cellStyle name="Normal 9 3 2 2 3" xfId="996" xr:uid="{00000000-0005-0000-0000-0000C01F0000}"/>
    <cellStyle name="Normal 9 3 2 2 3 2" xfId="3229" xr:uid="{00000000-0005-0000-0000-0000C11F0000}"/>
    <cellStyle name="Normal 9 3 2 2 3 2 2" xfId="7451" xr:uid="{00000000-0005-0000-0000-0000C21F0000}"/>
    <cellStyle name="Normal 9 3 2 2 3 2 2 2" xfId="15901" xr:uid="{F1A1AA50-4B27-445C-A91A-1F4D0EB36D06}"/>
    <cellStyle name="Normal 9 3 2 2 3 2 3" xfId="11683" xr:uid="{C34D2B96-C0DC-4E9A-A0C9-11747C5CB323}"/>
    <cellStyle name="Normal 9 3 2 2 3 3" xfId="5306" xr:uid="{00000000-0005-0000-0000-0000C31F0000}"/>
    <cellStyle name="Normal 9 3 2 2 3 3 2" xfId="13756" xr:uid="{774F0FAA-D2F8-481D-862F-4E2507A415C1}"/>
    <cellStyle name="Normal 9 3 2 2 3 4" xfId="9538" xr:uid="{9A9E60D0-2D32-4106-8358-62EE8F1BBB6E}"/>
    <cellStyle name="Normal 9 3 2 2 4" xfId="1412" xr:uid="{00000000-0005-0000-0000-0000C41F0000}"/>
    <cellStyle name="Normal 9 3 2 2 4 2" xfId="3642" xr:uid="{00000000-0005-0000-0000-0000C51F0000}"/>
    <cellStyle name="Normal 9 3 2 2 4 2 2" xfId="7864" xr:uid="{00000000-0005-0000-0000-0000C61F0000}"/>
    <cellStyle name="Normal 9 3 2 2 4 2 2 2" xfId="16314" xr:uid="{6C336A57-1C01-42EF-9991-6522BC313E0D}"/>
    <cellStyle name="Normal 9 3 2 2 4 2 3" xfId="12096" xr:uid="{ABF9F1FA-7869-4671-A8A4-7E5DA40D1E7C}"/>
    <cellStyle name="Normal 9 3 2 2 4 3" xfId="5719" xr:uid="{00000000-0005-0000-0000-0000C71F0000}"/>
    <cellStyle name="Normal 9 3 2 2 4 3 2" xfId="14169" xr:uid="{05593EE9-AC76-4E7A-A0B4-FA3102650F68}"/>
    <cellStyle name="Normal 9 3 2 2 4 4" xfId="9951" xr:uid="{311A044E-F4AD-49B7-AE9F-1A1230891FD6}"/>
    <cellStyle name="Normal 9 3 2 2 5" xfId="1825" xr:uid="{00000000-0005-0000-0000-0000C81F0000}"/>
    <cellStyle name="Normal 9 3 2 2 5 2" xfId="4055" xr:uid="{00000000-0005-0000-0000-0000C91F0000}"/>
    <cellStyle name="Normal 9 3 2 2 5 2 2" xfId="8277" xr:uid="{00000000-0005-0000-0000-0000CA1F0000}"/>
    <cellStyle name="Normal 9 3 2 2 5 2 2 2" xfId="16727" xr:uid="{7AA310C9-7EEF-43BB-B957-05E98D505C01}"/>
    <cellStyle name="Normal 9 3 2 2 5 2 3" xfId="12509" xr:uid="{67C9CBA9-D742-46AC-ADE7-236CB92C33EE}"/>
    <cellStyle name="Normal 9 3 2 2 5 3" xfId="6132" xr:uid="{00000000-0005-0000-0000-0000CB1F0000}"/>
    <cellStyle name="Normal 9 3 2 2 5 3 2" xfId="14582" xr:uid="{78314C1A-CBAE-41BF-B84A-7C5925C8B888}"/>
    <cellStyle name="Normal 9 3 2 2 5 4" xfId="10364" xr:uid="{6E23BD14-53B1-44F4-A9CC-B741D214606E}"/>
    <cellStyle name="Normal 9 3 2 2 6" xfId="2239" xr:uid="{00000000-0005-0000-0000-0000CC1F0000}"/>
    <cellStyle name="Normal 9 3 2 2 6 2" xfId="4468" xr:uid="{00000000-0005-0000-0000-0000CD1F0000}"/>
    <cellStyle name="Normal 9 3 2 2 6 2 2" xfId="8690" xr:uid="{00000000-0005-0000-0000-0000CE1F0000}"/>
    <cellStyle name="Normal 9 3 2 2 6 2 2 2" xfId="17140" xr:uid="{DC6826AF-222E-4916-8BD1-3785B4744069}"/>
    <cellStyle name="Normal 9 3 2 2 6 2 3" xfId="12922" xr:uid="{8A74D2E1-05C3-428F-83D6-8FCEE7F350B6}"/>
    <cellStyle name="Normal 9 3 2 2 6 3" xfId="6545" xr:uid="{00000000-0005-0000-0000-0000CF1F0000}"/>
    <cellStyle name="Normal 9 3 2 2 6 3 2" xfId="14995" xr:uid="{2DC303FF-8D50-4E5D-8033-2E3AA5C6FF52}"/>
    <cellStyle name="Normal 9 3 2 2 6 4" xfId="10777" xr:uid="{206F2214-B730-403F-95D7-150F1E0B2D8E}"/>
    <cellStyle name="Normal 9 3 2 2 7" xfId="2675" xr:uid="{00000000-0005-0000-0000-0000D01F0000}"/>
    <cellStyle name="Normal 9 3 2 2 7 2" xfId="6958" xr:uid="{00000000-0005-0000-0000-0000D11F0000}"/>
    <cellStyle name="Normal 9 3 2 2 7 2 2" xfId="15408" xr:uid="{0B9FAC49-FA19-4A4C-8D7C-82DEF63603B6}"/>
    <cellStyle name="Normal 9 3 2 2 7 3" xfId="11190" xr:uid="{EBBA17F5-8A60-417D-8FD4-F074FF2D9411}"/>
    <cellStyle name="Normal 9 3 2 2 8" xfId="4893" xr:uid="{00000000-0005-0000-0000-0000D21F0000}"/>
    <cellStyle name="Normal 9 3 2 2 8 2" xfId="13343" xr:uid="{EDCCFA4F-AF1A-478B-A78C-B2A499C847E8}"/>
    <cellStyle name="Normal 9 3 2 2 9" xfId="9125" xr:uid="{7269391B-1875-49DA-81CE-A152B6418A17}"/>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2 2 2" xfId="15903" xr:uid="{9D64F52F-0239-4493-B915-21D8A316B8D7}"/>
    <cellStyle name="Normal 9 3 2 3 2 2 3" xfId="11685" xr:uid="{879F0FBA-5DA3-485F-9532-16331D9A1133}"/>
    <cellStyle name="Normal 9 3 2 3 2 3" xfId="5308" xr:uid="{00000000-0005-0000-0000-0000D71F0000}"/>
    <cellStyle name="Normal 9 3 2 3 2 3 2" xfId="13758" xr:uid="{DF5D7FB2-E146-4168-B69A-6A4A4033B877}"/>
    <cellStyle name="Normal 9 3 2 3 2 4" xfId="9540" xr:uid="{BF7E0017-40A2-4847-8EF2-F7087129D8C1}"/>
    <cellStyle name="Normal 9 3 2 3 3" xfId="1414" xr:uid="{00000000-0005-0000-0000-0000D81F0000}"/>
    <cellStyle name="Normal 9 3 2 3 3 2" xfId="3644" xr:uid="{00000000-0005-0000-0000-0000D91F0000}"/>
    <cellStyle name="Normal 9 3 2 3 3 2 2" xfId="7866" xr:uid="{00000000-0005-0000-0000-0000DA1F0000}"/>
    <cellStyle name="Normal 9 3 2 3 3 2 2 2" xfId="16316" xr:uid="{39EEC8D5-F753-416D-A4D5-890997F667BC}"/>
    <cellStyle name="Normal 9 3 2 3 3 2 3" xfId="12098" xr:uid="{0132C5EC-E4DA-434B-A709-AFF7849BF894}"/>
    <cellStyle name="Normal 9 3 2 3 3 3" xfId="5721" xr:uid="{00000000-0005-0000-0000-0000DB1F0000}"/>
    <cellStyle name="Normal 9 3 2 3 3 3 2" xfId="14171" xr:uid="{FF84D2D0-BBAF-4F14-A360-498A86ACD200}"/>
    <cellStyle name="Normal 9 3 2 3 3 4" xfId="9953" xr:uid="{3B218B21-87D1-4704-AB8C-D1086846099D}"/>
    <cellStyle name="Normal 9 3 2 3 4" xfId="1827" xr:uid="{00000000-0005-0000-0000-0000DC1F0000}"/>
    <cellStyle name="Normal 9 3 2 3 4 2" xfId="4057" xr:uid="{00000000-0005-0000-0000-0000DD1F0000}"/>
    <cellStyle name="Normal 9 3 2 3 4 2 2" xfId="8279" xr:uid="{00000000-0005-0000-0000-0000DE1F0000}"/>
    <cellStyle name="Normal 9 3 2 3 4 2 2 2" xfId="16729" xr:uid="{7935AB11-573C-42D1-843A-93D3F079E5A4}"/>
    <cellStyle name="Normal 9 3 2 3 4 2 3" xfId="12511" xr:uid="{E1C9A41E-A48B-4BFF-8143-F06EE480D099}"/>
    <cellStyle name="Normal 9 3 2 3 4 3" xfId="6134" xr:uid="{00000000-0005-0000-0000-0000DF1F0000}"/>
    <cellStyle name="Normal 9 3 2 3 4 3 2" xfId="14584" xr:uid="{7B07D499-19B3-4A47-9FD1-64FA34950BCC}"/>
    <cellStyle name="Normal 9 3 2 3 4 4" xfId="10366" xr:uid="{6C85972A-B751-46AD-B238-DB0653EC9671}"/>
    <cellStyle name="Normal 9 3 2 3 5" xfId="2241" xr:uid="{00000000-0005-0000-0000-0000E01F0000}"/>
    <cellStyle name="Normal 9 3 2 3 5 2" xfId="4470" xr:uid="{00000000-0005-0000-0000-0000E11F0000}"/>
    <cellStyle name="Normal 9 3 2 3 5 2 2" xfId="8692" xr:uid="{00000000-0005-0000-0000-0000E21F0000}"/>
    <cellStyle name="Normal 9 3 2 3 5 2 2 2" xfId="17142" xr:uid="{61D950F3-61BC-47E1-A927-EEB1125DF59C}"/>
    <cellStyle name="Normal 9 3 2 3 5 2 3" xfId="12924" xr:uid="{5A53AE49-9B1A-4175-B3CB-312C584C8889}"/>
    <cellStyle name="Normal 9 3 2 3 5 3" xfId="6547" xr:uid="{00000000-0005-0000-0000-0000E31F0000}"/>
    <cellStyle name="Normal 9 3 2 3 5 3 2" xfId="14997" xr:uid="{87C68756-CFCC-47CC-986E-107240229C6D}"/>
    <cellStyle name="Normal 9 3 2 3 5 4" xfId="10779" xr:uid="{8E848619-855D-40AC-88F5-095405BA5B08}"/>
    <cellStyle name="Normal 9 3 2 3 6" xfId="2677" xr:uid="{00000000-0005-0000-0000-0000E41F0000}"/>
    <cellStyle name="Normal 9 3 2 3 6 2" xfId="6960" xr:uid="{00000000-0005-0000-0000-0000E51F0000}"/>
    <cellStyle name="Normal 9 3 2 3 6 2 2" xfId="15410" xr:uid="{73B8C220-11D9-46F8-9A79-407BC2DEC87B}"/>
    <cellStyle name="Normal 9 3 2 3 6 3" xfId="11192" xr:uid="{DA39CDC2-9F19-4FBE-B3CA-EC810CFE0B15}"/>
    <cellStyle name="Normal 9 3 2 3 7" xfId="4895" xr:uid="{00000000-0005-0000-0000-0000E61F0000}"/>
    <cellStyle name="Normal 9 3 2 3 7 2" xfId="13345" xr:uid="{53DA11B9-46D8-4672-B82E-9E4773132016}"/>
    <cellStyle name="Normal 9 3 2 3 8" xfId="9127" xr:uid="{7B1F2560-C385-4737-AABC-6CBE423733D9}"/>
    <cellStyle name="Normal 9 3 2 4" xfId="995" xr:uid="{00000000-0005-0000-0000-0000E71F0000}"/>
    <cellStyle name="Normal 9 3 2 4 2" xfId="3228" xr:uid="{00000000-0005-0000-0000-0000E81F0000}"/>
    <cellStyle name="Normal 9 3 2 4 2 2" xfId="7450" xr:uid="{00000000-0005-0000-0000-0000E91F0000}"/>
    <cellStyle name="Normal 9 3 2 4 2 2 2" xfId="15900" xr:uid="{B38DA48D-C48B-417E-9E53-9CAFF061E098}"/>
    <cellStyle name="Normal 9 3 2 4 2 3" xfId="11682" xr:uid="{0ECF690E-C073-4346-859C-B7176918F672}"/>
    <cellStyle name="Normal 9 3 2 4 3" xfId="5305" xr:uid="{00000000-0005-0000-0000-0000EA1F0000}"/>
    <cellStyle name="Normal 9 3 2 4 3 2" xfId="13755" xr:uid="{30BCB902-6675-4D71-9CB5-48B0561FCDFF}"/>
    <cellStyle name="Normal 9 3 2 4 4" xfId="9537" xr:uid="{8398F80B-1608-48E7-A9E9-6A71283DCDBC}"/>
    <cellStyle name="Normal 9 3 2 5" xfId="1411" xr:uid="{00000000-0005-0000-0000-0000EB1F0000}"/>
    <cellStyle name="Normal 9 3 2 5 2" xfId="3641" xr:uid="{00000000-0005-0000-0000-0000EC1F0000}"/>
    <cellStyle name="Normal 9 3 2 5 2 2" xfId="7863" xr:uid="{00000000-0005-0000-0000-0000ED1F0000}"/>
    <cellStyle name="Normal 9 3 2 5 2 2 2" xfId="16313" xr:uid="{8CF6BBDB-D2EC-4E52-8A2C-7EEE2EA8C316}"/>
    <cellStyle name="Normal 9 3 2 5 2 3" xfId="12095" xr:uid="{04CBA4E9-32F0-4D7F-9D98-ABEF8330E7F9}"/>
    <cellStyle name="Normal 9 3 2 5 3" xfId="5718" xr:uid="{00000000-0005-0000-0000-0000EE1F0000}"/>
    <cellStyle name="Normal 9 3 2 5 3 2" xfId="14168" xr:uid="{CF32C5EF-0D71-400C-ABF0-35C19ACD50DD}"/>
    <cellStyle name="Normal 9 3 2 5 4" xfId="9950" xr:uid="{EF0EC545-E4F5-47AF-AFC1-742BBBC889F7}"/>
    <cellStyle name="Normal 9 3 2 6" xfId="1824" xr:uid="{00000000-0005-0000-0000-0000EF1F0000}"/>
    <cellStyle name="Normal 9 3 2 6 2" xfId="4054" xr:uid="{00000000-0005-0000-0000-0000F01F0000}"/>
    <cellStyle name="Normal 9 3 2 6 2 2" xfId="8276" xr:uid="{00000000-0005-0000-0000-0000F11F0000}"/>
    <cellStyle name="Normal 9 3 2 6 2 2 2" xfId="16726" xr:uid="{67892BC3-F2BE-4D74-A00A-B9746EF8E574}"/>
    <cellStyle name="Normal 9 3 2 6 2 3" xfId="12508" xr:uid="{46A6176B-DDB7-4F56-AF58-8BAB03AAFBAF}"/>
    <cellStyle name="Normal 9 3 2 6 3" xfId="6131" xr:uid="{00000000-0005-0000-0000-0000F21F0000}"/>
    <cellStyle name="Normal 9 3 2 6 3 2" xfId="14581" xr:uid="{BB737108-9D72-4D53-8B0D-E1FD2BC6DB3C}"/>
    <cellStyle name="Normal 9 3 2 6 4" xfId="10363" xr:uid="{70042ADD-0401-4701-B670-3CD68EBD328F}"/>
    <cellStyle name="Normal 9 3 2 7" xfId="2238" xr:uid="{00000000-0005-0000-0000-0000F31F0000}"/>
    <cellStyle name="Normal 9 3 2 7 2" xfId="4467" xr:uid="{00000000-0005-0000-0000-0000F41F0000}"/>
    <cellStyle name="Normal 9 3 2 7 2 2" xfId="8689" xr:uid="{00000000-0005-0000-0000-0000F51F0000}"/>
    <cellStyle name="Normal 9 3 2 7 2 2 2" xfId="17139" xr:uid="{E8CB3D80-1A84-405C-87D2-920F8F356C22}"/>
    <cellStyle name="Normal 9 3 2 7 2 3" xfId="12921" xr:uid="{C9E3D45F-D9CC-46F5-B633-935E8285DC3F}"/>
    <cellStyle name="Normal 9 3 2 7 3" xfId="6544" xr:uid="{00000000-0005-0000-0000-0000F61F0000}"/>
    <cellStyle name="Normal 9 3 2 7 3 2" xfId="14994" xr:uid="{F7503D1F-72EF-425F-9243-4B23DAB0D010}"/>
    <cellStyle name="Normal 9 3 2 7 4" xfId="10776" xr:uid="{4FB0C056-7DBD-42EF-B7D1-0A337676383A}"/>
    <cellStyle name="Normal 9 3 2 8" xfId="2674" xr:uid="{00000000-0005-0000-0000-0000F71F0000}"/>
    <cellStyle name="Normal 9 3 2 8 2" xfId="6957" xr:uid="{00000000-0005-0000-0000-0000F81F0000}"/>
    <cellStyle name="Normal 9 3 2 8 2 2" xfId="15407" xr:uid="{D1267E50-6E81-4C07-9075-B104B0DD29E0}"/>
    <cellStyle name="Normal 9 3 2 8 3" xfId="11189" xr:uid="{6CE15A2F-2D20-403B-AB71-61F6B0B74E52}"/>
    <cellStyle name="Normal 9 3 2 9" xfId="4892" xr:uid="{00000000-0005-0000-0000-0000F91F0000}"/>
    <cellStyle name="Normal 9 3 2 9 2" xfId="13342" xr:uid="{58631A4A-02CA-4DD1-8B78-C6FB5B04781F}"/>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2 2 2" xfId="15905" xr:uid="{D7A76476-2C06-406A-BE16-C11E6E63173C}"/>
    <cellStyle name="Normal 9 3 3 2 2 2 3" xfId="11687" xr:uid="{FFA23A95-F5EB-47A2-B037-052AE8BB9457}"/>
    <cellStyle name="Normal 9 3 3 2 2 3" xfId="5310" xr:uid="{00000000-0005-0000-0000-0000FF1F0000}"/>
    <cellStyle name="Normal 9 3 3 2 2 3 2" xfId="13760" xr:uid="{CF7113D3-C972-4568-880C-90E2D9318833}"/>
    <cellStyle name="Normal 9 3 3 2 2 4" xfId="9542" xr:uid="{771E0958-9A73-4C33-A53C-21455FDD1925}"/>
    <cellStyle name="Normal 9 3 3 2 3" xfId="1416" xr:uid="{00000000-0005-0000-0000-000000200000}"/>
    <cellStyle name="Normal 9 3 3 2 3 2" xfId="3646" xr:uid="{00000000-0005-0000-0000-000001200000}"/>
    <cellStyle name="Normal 9 3 3 2 3 2 2" xfId="7868" xr:uid="{00000000-0005-0000-0000-000002200000}"/>
    <cellStyle name="Normal 9 3 3 2 3 2 2 2" xfId="16318" xr:uid="{362ACF54-E11E-4858-B0CB-0C44E9CF6696}"/>
    <cellStyle name="Normal 9 3 3 2 3 2 3" xfId="12100" xr:uid="{AB0BD30C-465F-454D-9767-B7DEF6BA2BD7}"/>
    <cellStyle name="Normal 9 3 3 2 3 3" xfId="5723" xr:uid="{00000000-0005-0000-0000-000003200000}"/>
    <cellStyle name="Normal 9 3 3 2 3 3 2" xfId="14173" xr:uid="{A09AF441-B6AA-4DFA-9554-635A625FFCA3}"/>
    <cellStyle name="Normal 9 3 3 2 3 4" xfId="9955" xr:uid="{3521D6B9-78EA-4FDC-8F53-04C749553D5E}"/>
    <cellStyle name="Normal 9 3 3 2 4" xfId="1829" xr:uid="{00000000-0005-0000-0000-000004200000}"/>
    <cellStyle name="Normal 9 3 3 2 4 2" xfId="4059" xr:uid="{00000000-0005-0000-0000-000005200000}"/>
    <cellStyle name="Normal 9 3 3 2 4 2 2" xfId="8281" xr:uid="{00000000-0005-0000-0000-000006200000}"/>
    <cellStyle name="Normal 9 3 3 2 4 2 2 2" xfId="16731" xr:uid="{C7FB9D7A-31E1-41A5-823B-7261E6573C2B}"/>
    <cellStyle name="Normal 9 3 3 2 4 2 3" xfId="12513" xr:uid="{4E05C302-CCFC-4B33-A1B7-D2A1041A3E04}"/>
    <cellStyle name="Normal 9 3 3 2 4 3" xfId="6136" xr:uid="{00000000-0005-0000-0000-000007200000}"/>
    <cellStyle name="Normal 9 3 3 2 4 3 2" xfId="14586" xr:uid="{DBEE6880-F9D3-4550-A414-A727C55A73EC}"/>
    <cellStyle name="Normal 9 3 3 2 4 4" xfId="10368" xr:uid="{DCE21C3D-B5E6-4C83-8036-87BAF0B3870D}"/>
    <cellStyle name="Normal 9 3 3 2 5" xfId="2243" xr:uid="{00000000-0005-0000-0000-000008200000}"/>
    <cellStyle name="Normal 9 3 3 2 5 2" xfId="4472" xr:uid="{00000000-0005-0000-0000-000009200000}"/>
    <cellStyle name="Normal 9 3 3 2 5 2 2" xfId="8694" xr:uid="{00000000-0005-0000-0000-00000A200000}"/>
    <cellStyle name="Normal 9 3 3 2 5 2 2 2" xfId="17144" xr:uid="{CC54288A-6F92-49DD-8005-365E9BBDB1B7}"/>
    <cellStyle name="Normal 9 3 3 2 5 2 3" xfId="12926" xr:uid="{294DFA0F-582A-470E-B0D9-618F3C984F94}"/>
    <cellStyle name="Normal 9 3 3 2 5 3" xfId="6549" xr:uid="{00000000-0005-0000-0000-00000B200000}"/>
    <cellStyle name="Normal 9 3 3 2 5 3 2" xfId="14999" xr:uid="{1E2B0840-2FC0-4FB5-B2AC-CD83A5EE113B}"/>
    <cellStyle name="Normal 9 3 3 2 5 4" xfId="10781" xr:uid="{997AA632-BAB5-4511-8B3A-FD53BE115B6C}"/>
    <cellStyle name="Normal 9 3 3 2 6" xfId="2679" xr:uid="{00000000-0005-0000-0000-00000C200000}"/>
    <cellStyle name="Normal 9 3 3 2 6 2" xfId="6962" xr:uid="{00000000-0005-0000-0000-00000D200000}"/>
    <cellStyle name="Normal 9 3 3 2 6 2 2" xfId="15412" xr:uid="{A81BDF05-E2BF-4249-8F40-07CEE5FF029D}"/>
    <cellStyle name="Normal 9 3 3 2 6 3" xfId="11194" xr:uid="{373E0484-FD62-43D3-8C09-8CF2CC48F97F}"/>
    <cellStyle name="Normal 9 3 3 2 7" xfId="4897" xr:uid="{00000000-0005-0000-0000-00000E200000}"/>
    <cellStyle name="Normal 9 3 3 2 7 2" xfId="13347" xr:uid="{2A040F5D-2802-4D31-A135-F00F2CCEAAC1}"/>
    <cellStyle name="Normal 9 3 3 2 8" xfId="9129" xr:uid="{E15B2D9D-FAEB-4F24-B7A9-027435CABC8B}"/>
    <cellStyle name="Normal 9 3 3 3" xfId="999" xr:uid="{00000000-0005-0000-0000-00000F200000}"/>
    <cellStyle name="Normal 9 3 3 3 2" xfId="3232" xr:uid="{00000000-0005-0000-0000-000010200000}"/>
    <cellStyle name="Normal 9 3 3 3 2 2" xfId="7454" xr:uid="{00000000-0005-0000-0000-000011200000}"/>
    <cellStyle name="Normal 9 3 3 3 2 2 2" xfId="15904" xr:uid="{57E4F023-A6BB-4138-839D-BBA6870985CD}"/>
    <cellStyle name="Normal 9 3 3 3 2 3" xfId="11686" xr:uid="{081021BF-F411-4567-AD32-C978D9E83EDF}"/>
    <cellStyle name="Normal 9 3 3 3 3" xfId="5309" xr:uid="{00000000-0005-0000-0000-000012200000}"/>
    <cellStyle name="Normal 9 3 3 3 3 2" xfId="13759" xr:uid="{5B8AA87D-4019-470A-8094-748DD85299E1}"/>
    <cellStyle name="Normal 9 3 3 3 4" xfId="9541" xr:uid="{99AF3F25-58FD-44F1-83F1-3A36DDB5705E}"/>
    <cellStyle name="Normal 9 3 3 4" xfId="1415" xr:uid="{00000000-0005-0000-0000-000013200000}"/>
    <cellStyle name="Normal 9 3 3 4 2" xfId="3645" xr:uid="{00000000-0005-0000-0000-000014200000}"/>
    <cellStyle name="Normal 9 3 3 4 2 2" xfId="7867" xr:uid="{00000000-0005-0000-0000-000015200000}"/>
    <cellStyle name="Normal 9 3 3 4 2 2 2" xfId="16317" xr:uid="{0F76CCB6-8CDC-42D4-A212-125A1F4F4B88}"/>
    <cellStyle name="Normal 9 3 3 4 2 3" xfId="12099" xr:uid="{E923D8DD-C0E0-48D3-A0BA-34C3F7FEB7AC}"/>
    <cellStyle name="Normal 9 3 3 4 3" xfId="5722" xr:uid="{00000000-0005-0000-0000-000016200000}"/>
    <cellStyle name="Normal 9 3 3 4 3 2" xfId="14172" xr:uid="{D95ACCDD-2827-4B19-A648-F5A262E85261}"/>
    <cellStyle name="Normal 9 3 3 4 4" xfId="9954" xr:uid="{1A64C61F-69A7-4712-9B40-801C8ECA849E}"/>
    <cellStyle name="Normal 9 3 3 5" xfId="1828" xr:uid="{00000000-0005-0000-0000-000017200000}"/>
    <cellStyle name="Normal 9 3 3 5 2" xfId="4058" xr:uid="{00000000-0005-0000-0000-000018200000}"/>
    <cellStyle name="Normal 9 3 3 5 2 2" xfId="8280" xr:uid="{00000000-0005-0000-0000-000019200000}"/>
    <cellStyle name="Normal 9 3 3 5 2 2 2" xfId="16730" xr:uid="{8A38A908-14CA-42C2-9760-0DC566A769F0}"/>
    <cellStyle name="Normal 9 3 3 5 2 3" xfId="12512" xr:uid="{D9307D61-D2F9-4625-BAA6-017EA5254B9E}"/>
    <cellStyle name="Normal 9 3 3 5 3" xfId="6135" xr:uid="{00000000-0005-0000-0000-00001A200000}"/>
    <cellStyle name="Normal 9 3 3 5 3 2" xfId="14585" xr:uid="{16384AEA-444A-4D2B-99D9-E4F0771860DF}"/>
    <cellStyle name="Normal 9 3 3 5 4" xfId="10367" xr:uid="{2CC06093-2D06-4F63-A706-7DF2EE66A5A1}"/>
    <cellStyle name="Normal 9 3 3 6" xfId="2242" xr:uid="{00000000-0005-0000-0000-00001B200000}"/>
    <cellStyle name="Normal 9 3 3 6 2" xfId="4471" xr:uid="{00000000-0005-0000-0000-00001C200000}"/>
    <cellStyle name="Normal 9 3 3 6 2 2" xfId="8693" xr:uid="{00000000-0005-0000-0000-00001D200000}"/>
    <cellStyle name="Normal 9 3 3 6 2 2 2" xfId="17143" xr:uid="{E707E967-71CF-449B-990C-8522AD1C8D6B}"/>
    <cellStyle name="Normal 9 3 3 6 2 3" xfId="12925" xr:uid="{6A192826-4070-48FC-A3B7-07417BFFC0D3}"/>
    <cellStyle name="Normal 9 3 3 6 3" xfId="6548" xr:uid="{00000000-0005-0000-0000-00001E200000}"/>
    <cellStyle name="Normal 9 3 3 6 3 2" xfId="14998" xr:uid="{F8D00200-FB2A-4D16-9BF4-71F822227E0B}"/>
    <cellStyle name="Normal 9 3 3 6 4" xfId="10780" xr:uid="{6E33033F-C41F-46D8-A3BD-C56761B90C25}"/>
    <cellStyle name="Normal 9 3 3 7" xfId="2678" xr:uid="{00000000-0005-0000-0000-00001F200000}"/>
    <cellStyle name="Normal 9 3 3 7 2" xfId="6961" xr:uid="{00000000-0005-0000-0000-000020200000}"/>
    <cellStyle name="Normal 9 3 3 7 2 2" xfId="15411" xr:uid="{B0004F80-CA02-4B6C-9DD0-DE80805C7519}"/>
    <cellStyle name="Normal 9 3 3 7 3" xfId="11193" xr:uid="{2117B424-1345-4A59-AD70-1B9087A0C15C}"/>
    <cellStyle name="Normal 9 3 3 8" xfId="4896" xr:uid="{00000000-0005-0000-0000-000021200000}"/>
    <cellStyle name="Normal 9 3 3 8 2" xfId="13346" xr:uid="{33F093C1-CF27-4307-844A-6F174D47568E}"/>
    <cellStyle name="Normal 9 3 3 9" xfId="9128" xr:uid="{FF6B29F9-B89A-43FB-A18A-A382BDD8995C}"/>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2 2 2" xfId="15906" xr:uid="{AEE5723A-477A-4828-9BB6-45556E58BDE1}"/>
    <cellStyle name="Normal 9 3 4 2 2 3" xfId="11688" xr:uid="{7754E6D4-DBE0-40B8-A02A-5E7005B9F956}"/>
    <cellStyle name="Normal 9 3 4 2 3" xfId="5311" xr:uid="{00000000-0005-0000-0000-000026200000}"/>
    <cellStyle name="Normal 9 3 4 2 3 2" xfId="13761" xr:uid="{86255A15-FEA0-4C81-8E71-D686B59111CB}"/>
    <cellStyle name="Normal 9 3 4 2 4" xfId="9543" xr:uid="{FAD3DF36-D6E0-4574-A409-6A8CE10EA1C7}"/>
    <cellStyle name="Normal 9 3 4 3" xfId="1417" xr:uid="{00000000-0005-0000-0000-000027200000}"/>
    <cellStyle name="Normal 9 3 4 3 2" xfId="3647" xr:uid="{00000000-0005-0000-0000-000028200000}"/>
    <cellStyle name="Normal 9 3 4 3 2 2" xfId="7869" xr:uid="{00000000-0005-0000-0000-000029200000}"/>
    <cellStyle name="Normal 9 3 4 3 2 2 2" xfId="16319" xr:uid="{3BD48CFB-C784-4F52-A6A2-318C02C8A32F}"/>
    <cellStyle name="Normal 9 3 4 3 2 3" xfId="12101" xr:uid="{2E65B6A1-F5D8-46FC-A9E5-F69064CB2B25}"/>
    <cellStyle name="Normal 9 3 4 3 3" xfId="5724" xr:uid="{00000000-0005-0000-0000-00002A200000}"/>
    <cellStyle name="Normal 9 3 4 3 3 2" xfId="14174" xr:uid="{50CF2145-F043-42A9-87CA-83A64904903E}"/>
    <cellStyle name="Normal 9 3 4 3 4" xfId="9956" xr:uid="{2B6B6C18-855F-4633-AEA7-C9CD8841D729}"/>
    <cellStyle name="Normal 9 3 4 4" xfId="1830" xr:uid="{00000000-0005-0000-0000-00002B200000}"/>
    <cellStyle name="Normal 9 3 4 4 2" xfId="4060" xr:uid="{00000000-0005-0000-0000-00002C200000}"/>
    <cellStyle name="Normal 9 3 4 4 2 2" xfId="8282" xr:uid="{00000000-0005-0000-0000-00002D200000}"/>
    <cellStyle name="Normal 9 3 4 4 2 2 2" xfId="16732" xr:uid="{CFDE2EE1-B7B2-491F-93D8-339157BA6F12}"/>
    <cellStyle name="Normal 9 3 4 4 2 3" xfId="12514" xr:uid="{46738104-9B6D-4400-B677-187FFC099C63}"/>
    <cellStyle name="Normal 9 3 4 4 3" xfId="6137" xr:uid="{00000000-0005-0000-0000-00002E200000}"/>
    <cellStyle name="Normal 9 3 4 4 3 2" xfId="14587" xr:uid="{92D80128-6593-4166-8472-89A19FBBE337}"/>
    <cellStyle name="Normal 9 3 4 4 4" xfId="10369" xr:uid="{4F9F95DA-56B9-4770-99F7-C3C9B265B3A6}"/>
    <cellStyle name="Normal 9 3 4 5" xfId="2244" xr:uid="{00000000-0005-0000-0000-00002F200000}"/>
    <cellStyle name="Normal 9 3 4 5 2" xfId="4473" xr:uid="{00000000-0005-0000-0000-000030200000}"/>
    <cellStyle name="Normal 9 3 4 5 2 2" xfId="8695" xr:uid="{00000000-0005-0000-0000-000031200000}"/>
    <cellStyle name="Normal 9 3 4 5 2 2 2" xfId="17145" xr:uid="{10369DFD-5472-48C8-9325-1527F2B08506}"/>
    <cellStyle name="Normal 9 3 4 5 2 3" xfId="12927" xr:uid="{B07B983A-8B95-4FF2-A520-11A7F8769A93}"/>
    <cellStyle name="Normal 9 3 4 5 3" xfId="6550" xr:uid="{00000000-0005-0000-0000-000032200000}"/>
    <cellStyle name="Normal 9 3 4 5 3 2" xfId="15000" xr:uid="{208885DE-9F2D-4E44-9EED-CA189F76DE22}"/>
    <cellStyle name="Normal 9 3 4 5 4" xfId="10782" xr:uid="{29EEC2E9-9A6A-455B-B2EF-AE458B4988CD}"/>
    <cellStyle name="Normal 9 3 4 6" xfId="2680" xr:uid="{00000000-0005-0000-0000-000033200000}"/>
    <cellStyle name="Normal 9 3 4 6 2" xfId="6963" xr:uid="{00000000-0005-0000-0000-000034200000}"/>
    <cellStyle name="Normal 9 3 4 6 2 2" xfId="15413" xr:uid="{9593F6FF-D6DC-46D5-83BB-862319FA0859}"/>
    <cellStyle name="Normal 9 3 4 6 3" xfId="11195" xr:uid="{568428F1-2E07-4FB9-A4E6-DF51524F2B77}"/>
    <cellStyle name="Normal 9 3 4 7" xfId="4898" xr:uid="{00000000-0005-0000-0000-000035200000}"/>
    <cellStyle name="Normal 9 3 4 7 2" xfId="13348" xr:uid="{5B8C491B-0F27-4E23-A759-D3583284056C}"/>
    <cellStyle name="Normal 9 3 4 8" xfId="9130" xr:uid="{63EA8EA2-807F-4CB2-9D3E-1F37D25BB728}"/>
    <cellStyle name="Normal 9 3 5" xfId="994" xr:uid="{00000000-0005-0000-0000-000036200000}"/>
    <cellStyle name="Normal 9 3 5 2" xfId="3227" xr:uid="{00000000-0005-0000-0000-000037200000}"/>
    <cellStyle name="Normal 9 3 5 2 2" xfId="7449" xr:uid="{00000000-0005-0000-0000-000038200000}"/>
    <cellStyle name="Normal 9 3 5 2 2 2" xfId="15899" xr:uid="{8E3216B0-9810-4F80-AFEE-9BAE76E5B585}"/>
    <cellStyle name="Normal 9 3 5 2 3" xfId="11681" xr:uid="{5F5B3EFE-18D5-4CA8-9D79-402FE382BA7C}"/>
    <cellStyle name="Normal 9 3 5 3" xfId="5304" xr:uid="{00000000-0005-0000-0000-000039200000}"/>
    <cellStyle name="Normal 9 3 5 3 2" xfId="13754" xr:uid="{832345C8-0674-4BB4-9B23-F4C391E8C9B4}"/>
    <cellStyle name="Normal 9 3 5 4" xfId="9536" xr:uid="{8C69B79B-3BD0-44AA-8FCC-DFCCE47E38E8}"/>
    <cellStyle name="Normal 9 3 6" xfId="1410" xr:uid="{00000000-0005-0000-0000-00003A200000}"/>
    <cellStyle name="Normal 9 3 6 2" xfId="3640" xr:uid="{00000000-0005-0000-0000-00003B200000}"/>
    <cellStyle name="Normal 9 3 6 2 2" xfId="7862" xr:uid="{00000000-0005-0000-0000-00003C200000}"/>
    <cellStyle name="Normal 9 3 6 2 2 2" xfId="16312" xr:uid="{61A3E78D-7F8F-43D3-8798-2684E8BA19F9}"/>
    <cellStyle name="Normal 9 3 6 2 3" xfId="12094" xr:uid="{21055CA2-A988-4BF5-A44B-34425E36FB91}"/>
    <cellStyle name="Normal 9 3 6 3" xfId="5717" xr:uid="{00000000-0005-0000-0000-00003D200000}"/>
    <cellStyle name="Normal 9 3 6 3 2" xfId="14167" xr:uid="{7E13DB3A-1C84-40C2-A214-F14472E2B836}"/>
    <cellStyle name="Normal 9 3 6 4" xfId="9949" xr:uid="{ED90E063-A10D-47B1-8529-D20C351E52E3}"/>
    <cellStyle name="Normal 9 3 7" xfId="1823" xr:uid="{00000000-0005-0000-0000-00003E200000}"/>
    <cellStyle name="Normal 9 3 7 2" xfId="4053" xr:uid="{00000000-0005-0000-0000-00003F200000}"/>
    <cellStyle name="Normal 9 3 7 2 2" xfId="8275" xr:uid="{00000000-0005-0000-0000-000040200000}"/>
    <cellStyle name="Normal 9 3 7 2 2 2" xfId="16725" xr:uid="{B0463BAA-194E-4D24-9FD6-7D7D51ACFF3F}"/>
    <cellStyle name="Normal 9 3 7 2 3" xfId="12507" xr:uid="{30332DC5-E2B8-4380-8672-8A7AB399866F}"/>
    <cellStyle name="Normal 9 3 7 3" xfId="6130" xr:uid="{00000000-0005-0000-0000-000041200000}"/>
    <cellStyle name="Normal 9 3 7 3 2" xfId="14580" xr:uid="{7E22534B-51CE-4EFF-8488-97968AB648E5}"/>
    <cellStyle name="Normal 9 3 7 4" xfId="10362" xr:uid="{A198F8CB-74BF-4364-8951-C40422D88B9F}"/>
    <cellStyle name="Normal 9 3 8" xfId="2237" xr:uid="{00000000-0005-0000-0000-000042200000}"/>
    <cellStyle name="Normal 9 3 8 2" xfId="4466" xr:uid="{00000000-0005-0000-0000-000043200000}"/>
    <cellStyle name="Normal 9 3 8 2 2" xfId="8688" xr:uid="{00000000-0005-0000-0000-000044200000}"/>
    <cellStyle name="Normal 9 3 8 2 2 2" xfId="17138" xr:uid="{4BDC71D2-DC51-4A43-B873-8BF8F2E8C4E3}"/>
    <cellStyle name="Normal 9 3 8 2 3" xfId="12920" xr:uid="{CAFE3933-23B0-4C72-B665-72DEA52F5198}"/>
    <cellStyle name="Normal 9 3 8 3" xfId="6543" xr:uid="{00000000-0005-0000-0000-000045200000}"/>
    <cellStyle name="Normal 9 3 8 3 2" xfId="14993" xr:uid="{4BE46CE0-E7EE-48DA-939E-D3C5C7E33E87}"/>
    <cellStyle name="Normal 9 3 8 4" xfId="10775" xr:uid="{D3180941-F2D5-44D9-9E45-D331C6A44B9B}"/>
    <cellStyle name="Normal 9 3 9" xfId="2673" xr:uid="{00000000-0005-0000-0000-000046200000}"/>
    <cellStyle name="Normal 9 3 9 2" xfId="6956" xr:uid="{00000000-0005-0000-0000-000047200000}"/>
    <cellStyle name="Normal 9 3 9 2 2" xfId="15406" xr:uid="{D0F10E70-AA77-474A-BC67-198E1F22812B}"/>
    <cellStyle name="Normal 9 3 9 3" xfId="11188" xr:uid="{D0E222D7-5D96-48DD-B042-7AC44899D4D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2 2 2" xfId="15908" xr:uid="{8F6FC136-576E-4496-A098-DE700478A975}"/>
    <cellStyle name="Normal 9 5 2 2 2 3" xfId="11690" xr:uid="{14172C61-70A0-420D-A5C7-C318DC0C620F}"/>
    <cellStyle name="Normal 9 5 2 2 3" xfId="5313" xr:uid="{00000000-0005-0000-0000-00004F200000}"/>
    <cellStyle name="Normal 9 5 2 2 3 2" xfId="13763" xr:uid="{539EA5DF-7144-41C9-A4EE-718D8C1E34E2}"/>
    <cellStyle name="Normal 9 5 2 2 4" xfId="9545" xr:uid="{E5B4CFC9-90AD-4DF7-8EC6-75408EAC0F6F}"/>
    <cellStyle name="Normal 9 5 2 3" xfId="1419" xr:uid="{00000000-0005-0000-0000-000050200000}"/>
    <cellStyle name="Normal 9 5 2 3 2" xfId="3649" xr:uid="{00000000-0005-0000-0000-000051200000}"/>
    <cellStyle name="Normal 9 5 2 3 2 2" xfId="7871" xr:uid="{00000000-0005-0000-0000-000052200000}"/>
    <cellStyle name="Normal 9 5 2 3 2 2 2" xfId="16321" xr:uid="{8A2B5FD6-5683-40C7-8264-2BB633C514A7}"/>
    <cellStyle name="Normal 9 5 2 3 2 3" xfId="12103" xr:uid="{6E2712EE-A852-4EE8-ABE3-00D9C6712419}"/>
    <cellStyle name="Normal 9 5 2 3 3" xfId="5726" xr:uid="{00000000-0005-0000-0000-000053200000}"/>
    <cellStyle name="Normal 9 5 2 3 3 2" xfId="14176" xr:uid="{5C346E67-2614-4784-976C-68E847D9B475}"/>
    <cellStyle name="Normal 9 5 2 3 4" xfId="9958" xr:uid="{C7545E64-2C24-43A9-A854-3B393318F39F}"/>
    <cellStyle name="Normal 9 5 2 4" xfId="1832" xr:uid="{00000000-0005-0000-0000-000054200000}"/>
    <cellStyle name="Normal 9 5 2 4 2" xfId="4062" xr:uid="{00000000-0005-0000-0000-000055200000}"/>
    <cellStyle name="Normal 9 5 2 4 2 2" xfId="8284" xr:uid="{00000000-0005-0000-0000-000056200000}"/>
    <cellStyle name="Normal 9 5 2 4 2 2 2" xfId="16734" xr:uid="{F749387C-5F68-41CB-9684-72B0194D48E3}"/>
    <cellStyle name="Normal 9 5 2 4 2 3" xfId="12516" xr:uid="{169C8269-B611-4F7D-B13D-5540824AC174}"/>
    <cellStyle name="Normal 9 5 2 4 3" xfId="6139" xr:uid="{00000000-0005-0000-0000-000057200000}"/>
    <cellStyle name="Normal 9 5 2 4 3 2" xfId="14589" xr:uid="{AD09D90C-CB2F-4661-B025-47E75854AB18}"/>
    <cellStyle name="Normal 9 5 2 4 4" xfId="10371" xr:uid="{A7CBA48B-B365-418F-B5CC-9C9E07F66247}"/>
    <cellStyle name="Normal 9 5 2 5" xfId="2246" xr:uid="{00000000-0005-0000-0000-000058200000}"/>
    <cellStyle name="Normal 9 5 2 5 2" xfId="4475" xr:uid="{00000000-0005-0000-0000-000059200000}"/>
    <cellStyle name="Normal 9 5 2 5 2 2" xfId="8697" xr:uid="{00000000-0005-0000-0000-00005A200000}"/>
    <cellStyle name="Normal 9 5 2 5 2 2 2" xfId="17147" xr:uid="{9869BBF4-244D-41B7-8AAF-917F32ED41A4}"/>
    <cellStyle name="Normal 9 5 2 5 2 3" xfId="12929" xr:uid="{B56FAB57-DEE0-4258-B5D8-D938EF8A1314}"/>
    <cellStyle name="Normal 9 5 2 5 3" xfId="6552" xr:uid="{00000000-0005-0000-0000-00005B200000}"/>
    <cellStyle name="Normal 9 5 2 5 3 2" xfId="15002" xr:uid="{C1BCF096-0A5E-4327-BED3-79CCF7D1B8AB}"/>
    <cellStyle name="Normal 9 5 2 5 4" xfId="10784" xr:uid="{F42224EC-9FEB-49B8-A590-68D16FD0117F}"/>
    <cellStyle name="Normal 9 5 2 6" xfId="2682" xr:uid="{00000000-0005-0000-0000-00005C200000}"/>
    <cellStyle name="Normal 9 5 2 6 2" xfId="6965" xr:uid="{00000000-0005-0000-0000-00005D200000}"/>
    <cellStyle name="Normal 9 5 2 6 2 2" xfId="15415" xr:uid="{52DCCCED-E9E2-452F-992E-AE6D4259CD68}"/>
    <cellStyle name="Normal 9 5 2 6 3" xfId="11197" xr:uid="{D3B31742-736B-420C-BF75-9A311A8614B3}"/>
    <cellStyle name="Normal 9 5 2 7" xfId="4900" xr:uid="{00000000-0005-0000-0000-00005E200000}"/>
    <cellStyle name="Normal 9 5 2 7 2" xfId="13350" xr:uid="{2A7B5685-4F80-479C-BA54-49DB5C28DE41}"/>
    <cellStyle name="Normal 9 5 2 8" xfId="9132" xr:uid="{5CF85E6A-2F6A-4D0B-8983-3E65E47DDFAA}"/>
    <cellStyle name="Normal 9 5 3" xfId="1003" xr:uid="{00000000-0005-0000-0000-00005F200000}"/>
    <cellStyle name="Normal 9 5 3 2" xfId="3235" xr:uid="{00000000-0005-0000-0000-000060200000}"/>
    <cellStyle name="Normal 9 5 3 2 2" xfId="7457" xr:uid="{00000000-0005-0000-0000-000061200000}"/>
    <cellStyle name="Normal 9 5 3 2 2 2" xfId="15907" xr:uid="{67EDA642-56B2-4029-A5EF-D984EB1DB5C4}"/>
    <cellStyle name="Normal 9 5 3 2 3" xfId="11689" xr:uid="{2C02CB9C-31F8-40CC-A2B8-AEED170E00B4}"/>
    <cellStyle name="Normal 9 5 3 3" xfId="5312" xr:uid="{00000000-0005-0000-0000-000062200000}"/>
    <cellStyle name="Normal 9 5 3 3 2" xfId="13762" xr:uid="{EBE78A58-FEE4-4D11-B9EA-2B4F8992A921}"/>
    <cellStyle name="Normal 9 5 3 4" xfId="9544" xr:uid="{ACE1A816-5331-4BC0-B4DA-7A7112A4BAB7}"/>
    <cellStyle name="Normal 9 5 4" xfId="1418" xr:uid="{00000000-0005-0000-0000-000063200000}"/>
    <cellStyle name="Normal 9 5 4 2" xfId="3648" xr:uid="{00000000-0005-0000-0000-000064200000}"/>
    <cellStyle name="Normal 9 5 4 2 2" xfId="7870" xr:uid="{00000000-0005-0000-0000-000065200000}"/>
    <cellStyle name="Normal 9 5 4 2 2 2" xfId="16320" xr:uid="{FC4784CE-0DFA-461D-9E13-065E0AF1A163}"/>
    <cellStyle name="Normal 9 5 4 2 3" xfId="12102" xr:uid="{163B4CB2-8492-40EE-AEC2-B23F15BD6D20}"/>
    <cellStyle name="Normal 9 5 4 3" xfId="5725" xr:uid="{00000000-0005-0000-0000-000066200000}"/>
    <cellStyle name="Normal 9 5 4 3 2" xfId="14175" xr:uid="{B0D94E5C-8431-48C1-BAF5-0CC053148B6A}"/>
    <cellStyle name="Normal 9 5 4 4" xfId="9957" xr:uid="{47F41853-A152-4AE2-9A36-C3712065D05E}"/>
    <cellStyle name="Normal 9 5 5" xfId="1831" xr:uid="{00000000-0005-0000-0000-000067200000}"/>
    <cellStyle name="Normal 9 5 5 2" xfId="4061" xr:uid="{00000000-0005-0000-0000-000068200000}"/>
    <cellStyle name="Normal 9 5 5 2 2" xfId="8283" xr:uid="{00000000-0005-0000-0000-000069200000}"/>
    <cellStyle name="Normal 9 5 5 2 2 2" xfId="16733" xr:uid="{CFF68575-C3A2-47CE-949D-EC2B9B22BE76}"/>
    <cellStyle name="Normal 9 5 5 2 3" xfId="12515" xr:uid="{8908321E-AE90-4AE3-812E-28A7AABF0B58}"/>
    <cellStyle name="Normal 9 5 5 3" xfId="6138" xr:uid="{00000000-0005-0000-0000-00006A200000}"/>
    <cellStyle name="Normal 9 5 5 3 2" xfId="14588" xr:uid="{859D83A6-154B-46CB-862F-3383076DA8E6}"/>
    <cellStyle name="Normal 9 5 5 4" xfId="10370" xr:uid="{53A3FC83-2008-4DD4-836C-63DBACEF8642}"/>
    <cellStyle name="Normal 9 5 6" xfId="2245" xr:uid="{00000000-0005-0000-0000-00006B200000}"/>
    <cellStyle name="Normal 9 5 6 2" xfId="4474" xr:uid="{00000000-0005-0000-0000-00006C200000}"/>
    <cellStyle name="Normal 9 5 6 2 2" xfId="8696" xr:uid="{00000000-0005-0000-0000-00006D200000}"/>
    <cellStyle name="Normal 9 5 6 2 2 2" xfId="17146" xr:uid="{0F8FF8A6-FB63-4EEE-B2AA-C41C0B339EA2}"/>
    <cellStyle name="Normal 9 5 6 2 3" xfId="12928" xr:uid="{B255BC23-E28D-4A4E-924C-76889138F12A}"/>
    <cellStyle name="Normal 9 5 6 3" xfId="6551" xr:uid="{00000000-0005-0000-0000-00006E200000}"/>
    <cellStyle name="Normal 9 5 6 3 2" xfId="15001" xr:uid="{B8D5899F-8788-4131-AABD-E4E0933A5737}"/>
    <cellStyle name="Normal 9 5 6 4" xfId="10783" xr:uid="{2E1B2D67-883B-4475-8198-0960C8B979B5}"/>
    <cellStyle name="Normal 9 5 7" xfId="2681" xr:uid="{00000000-0005-0000-0000-00006F200000}"/>
    <cellStyle name="Normal 9 5 7 2" xfId="6964" xr:uid="{00000000-0005-0000-0000-000070200000}"/>
    <cellStyle name="Normal 9 5 7 2 2" xfId="15414" xr:uid="{525CD2FB-1FA9-4A74-8424-4E2C0AF76A04}"/>
    <cellStyle name="Normal 9 5 7 3" xfId="11196" xr:uid="{BED07892-81CC-4EA3-B08C-7A66B1FED868}"/>
    <cellStyle name="Normal 9 5 8" xfId="4899" xr:uid="{00000000-0005-0000-0000-000071200000}"/>
    <cellStyle name="Normal 9 5 8 2" xfId="13349" xr:uid="{3ABE1974-C6F2-4FA2-8469-D7F5F3488EC7}"/>
    <cellStyle name="Normal 9 5 9" xfId="9131" xr:uid="{D006CEBC-E911-426E-AB0D-835395D6C562}"/>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2 2 2" xfId="15909" xr:uid="{E14430FB-1A91-441B-BBEA-05831C72ADDB}"/>
    <cellStyle name="Normal 9 6 2 2 3" xfId="11691" xr:uid="{43865017-2F6F-4006-A40F-7E1FE225B6DC}"/>
    <cellStyle name="Normal 9 6 2 3" xfId="5314" xr:uid="{00000000-0005-0000-0000-000076200000}"/>
    <cellStyle name="Normal 9 6 2 3 2" xfId="13764" xr:uid="{796820FD-E678-4E49-9315-9EDC023BF541}"/>
    <cellStyle name="Normal 9 6 2 4" xfId="9546" xr:uid="{F8352476-E50D-4F9B-A57F-8A08D42BA904}"/>
    <cellStyle name="Normal 9 6 3" xfId="1420" xr:uid="{00000000-0005-0000-0000-000077200000}"/>
    <cellStyle name="Normal 9 6 3 2" xfId="3650" xr:uid="{00000000-0005-0000-0000-000078200000}"/>
    <cellStyle name="Normal 9 6 3 2 2" xfId="7872" xr:uid="{00000000-0005-0000-0000-000079200000}"/>
    <cellStyle name="Normal 9 6 3 2 2 2" xfId="16322" xr:uid="{E3943511-662E-4760-95AE-A9ECED97C8A4}"/>
    <cellStyle name="Normal 9 6 3 2 3" xfId="12104" xr:uid="{C37329EB-F6CE-4B0C-BA3B-36559F41A24E}"/>
    <cellStyle name="Normal 9 6 3 3" xfId="5727" xr:uid="{00000000-0005-0000-0000-00007A200000}"/>
    <cellStyle name="Normal 9 6 3 3 2" xfId="14177" xr:uid="{2247DD42-EFB5-4560-81CA-3697AB0CD5B7}"/>
    <cellStyle name="Normal 9 6 3 4" xfId="9959" xr:uid="{8163C06C-EA3A-446D-8215-77790DA4065E}"/>
    <cellStyle name="Normal 9 6 4" xfId="1833" xr:uid="{00000000-0005-0000-0000-00007B200000}"/>
    <cellStyle name="Normal 9 6 4 2" xfId="4063" xr:uid="{00000000-0005-0000-0000-00007C200000}"/>
    <cellStyle name="Normal 9 6 4 2 2" xfId="8285" xr:uid="{00000000-0005-0000-0000-00007D200000}"/>
    <cellStyle name="Normal 9 6 4 2 2 2" xfId="16735" xr:uid="{93F035DD-B563-4A29-855D-F858015EE7E7}"/>
    <cellStyle name="Normal 9 6 4 2 3" xfId="12517" xr:uid="{B65895F6-17E4-41AD-BBE6-E6468BF5F49E}"/>
    <cellStyle name="Normal 9 6 4 3" xfId="6140" xr:uid="{00000000-0005-0000-0000-00007E200000}"/>
    <cellStyle name="Normal 9 6 4 3 2" xfId="14590" xr:uid="{7BCEBD76-C9DE-4BF7-9C34-6B05A38BE466}"/>
    <cellStyle name="Normal 9 6 4 4" xfId="10372" xr:uid="{78B88AA9-C7A0-42A6-A513-70F4C08B7BFA}"/>
    <cellStyle name="Normal 9 6 5" xfId="2247" xr:uid="{00000000-0005-0000-0000-00007F200000}"/>
    <cellStyle name="Normal 9 6 5 2" xfId="4476" xr:uid="{00000000-0005-0000-0000-000080200000}"/>
    <cellStyle name="Normal 9 6 5 2 2" xfId="8698" xr:uid="{00000000-0005-0000-0000-000081200000}"/>
    <cellStyle name="Normal 9 6 5 2 2 2" xfId="17148" xr:uid="{5DB5FA2D-8946-40DE-BC38-4FE40F111B24}"/>
    <cellStyle name="Normal 9 6 5 2 3" xfId="12930" xr:uid="{108945F6-D52B-42CD-8A4D-662C7FF7BC61}"/>
    <cellStyle name="Normal 9 6 5 3" xfId="6553" xr:uid="{00000000-0005-0000-0000-000082200000}"/>
    <cellStyle name="Normal 9 6 5 3 2" xfId="15003" xr:uid="{F77E8449-C66B-4D61-92BB-3734B2F8AF13}"/>
    <cellStyle name="Normal 9 6 5 4" xfId="10785" xr:uid="{056401D2-F737-4930-B636-6F6049FE073B}"/>
    <cellStyle name="Normal 9 6 6" xfId="2683" xr:uid="{00000000-0005-0000-0000-000083200000}"/>
    <cellStyle name="Normal 9 6 6 2" xfId="6966" xr:uid="{00000000-0005-0000-0000-000084200000}"/>
    <cellStyle name="Normal 9 6 6 2 2" xfId="15416" xr:uid="{311EAA63-01A6-4947-8E85-79EB187FF3BA}"/>
    <cellStyle name="Normal 9 6 6 3" xfId="11198" xr:uid="{C0565D63-3017-4C0E-B4FB-8A8D457421C0}"/>
    <cellStyle name="Normal 9 6 7" xfId="4901" xr:uid="{00000000-0005-0000-0000-000085200000}"/>
    <cellStyle name="Normal 9 6 7 2" xfId="13351" xr:uid="{F663EC12-E5B1-4356-A379-B48DFC069F51}"/>
    <cellStyle name="Normal 9 6 8" xfId="9133" xr:uid="{987F3953-B03C-4AAD-8192-782A600D180D}"/>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0 2 2" xfId="15497" xr:uid="{9FEA9CFE-5CB7-4724-80E5-AC98920B36EA}"/>
    <cellStyle name="Note 2 2 10 3" xfId="11279" xr:uid="{F18BEBAF-C655-4468-A16E-8416663D5A17}"/>
    <cellStyle name="Note 2 2 11" xfId="4902" xr:uid="{00000000-0005-0000-0000-000094200000}"/>
    <cellStyle name="Note 2 2 11 2" xfId="13352" xr:uid="{D43D9E27-D60E-4AC9-AC4F-95A68FD0E6EB}"/>
    <cellStyle name="Note 2 2 12" xfId="9134" xr:uid="{3C8EBBB0-04F6-4A0C-A7DC-FEE927C12535}"/>
    <cellStyle name="Note 2 2 2" xfId="546" xr:uid="{00000000-0005-0000-0000-000095200000}"/>
    <cellStyle name="Note 2 2 2 10" xfId="4903" xr:uid="{00000000-0005-0000-0000-000096200000}"/>
    <cellStyle name="Note 2 2 2 10 2" xfId="13353" xr:uid="{3F2488C5-F4A9-4036-A3B1-B1D7939D6FE9}"/>
    <cellStyle name="Note 2 2 2 11" xfId="9135" xr:uid="{8AEA3E1B-C1BB-4707-B1CE-63293354F87C}"/>
    <cellStyle name="Note 2 2 2 2" xfId="547" xr:uid="{00000000-0005-0000-0000-000097200000}"/>
    <cellStyle name="Note 2 2 2 2 10" xfId="9136" xr:uid="{0AC2FA95-CD85-460D-880C-E942C3507E83}"/>
    <cellStyle name="Note 2 2 2 2 2" xfId="1008" xr:uid="{00000000-0005-0000-0000-000098200000}"/>
    <cellStyle name="Note 2 2 2 2 2 2" xfId="3240" xr:uid="{00000000-0005-0000-0000-000099200000}"/>
    <cellStyle name="Note 2 2 2 2 2 2 2" xfId="7462" xr:uid="{00000000-0005-0000-0000-00009A200000}"/>
    <cellStyle name="Note 2 2 2 2 2 2 2 2" xfId="15912" xr:uid="{A437F807-63AE-429F-A9CF-408925867579}"/>
    <cellStyle name="Note 2 2 2 2 2 2 3" xfId="11694" xr:uid="{4344CAEF-BDEB-4493-B50A-9145CB3BE922}"/>
    <cellStyle name="Note 2 2 2 2 2 3" xfId="5317" xr:uid="{00000000-0005-0000-0000-00009B200000}"/>
    <cellStyle name="Note 2 2 2 2 2 3 2" xfId="13767" xr:uid="{51222A17-9897-43AC-AC3A-3748447A593E}"/>
    <cellStyle name="Note 2 2 2 2 2 4" xfId="9549" xr:uid="{93B7A69D-CE2B-480F-983D-F0477D9AB0B4}"/>
    <cellStyle name="Note 2 2 2 2 3" xfId="1423" xr:uid="{00000000-0005-0000-0000-00009C200000}"/>
    <cellStyle name="Note 2 2 2 2 3 2" xfId="3653" xr:uid="{00000000-0005-0000-0000-00009D200000}"/>
    <cellStyle name="Note 2 2 2 2 3 2 2" xfId="7875" xr:uid="{00000000-0005-0000-0000-00009E200000}"/>
    <cellStyle name="Note 2 2 2 2 3 2 2 2" xfId="16325" xr:uid="{9F1A158E-5B6D-405F-A914-8E246EF732B7}"/>
    <cellStyle name="Note 2 2 2 2 3 2 3" xfId="12107" xr:uid="{0895CD14-7633-4397-A2F5-680CED4D5874}"/>
    <cellStyle name="Note 2 2 2 2 3 3" xfId="5730" xr:uid="{00000000-0005-0000-0000-00009F200000}"/>
    <cellStyle name="Note 2 2 2 2 3 3 2" xfId="14180" xr:uid="{617FA0E9-D9AE-4C38-B943-AD9B134213A8}"/>
    <cellStyle name="Note 2 2 2 2 3 4" xfId="9962" xr:uid="{C8D1B9E2-10D8-44AF-AB27-E2EDBD3EFE55}"/>
    <cellStyle name="Note 2 2 2 2 4" xfId="1837" xr:uid="{00000000-0005-0000-0000-0000A0200000}"/>
    <cellStyle name="Note 2 2 2 2 4 2" xfId="4066" xr:uid="{00000000-0005-0000-0000-0000A1200000}"/>
    <cellStyle name="Note 2 2 2 2 4 2 2" xfId="8288" xr:uid="{00000000-0005-0000-0000-0000A2200000}"/>
    <cellStyle name="Note 2 2 2 2 4 2 2 2" xfId="16738" xr:uid="{577B518D-1392-4F30-A491-83FA4935E69E}"/>
    <cellStyle name="Note 2 2 2 2 4 2 3" xfId="12520" xr:uid="{07F90B7F-0EBC-4E82-90C9-8826BD4C6690}"/>
    <cellStyle name="Note 2 2 2 2 4 3" xfId="6143" xr:uid="{00000000-0005-0000-0000-0000A3200000}"/>
    <cellStyle name="Note 2 2 2 2 4 3 2" xfId="14593" xr:uid="{D5BB3EED-4950-46B5-8EEC-0D98871E945E}"/>
    <cellStyle name="Note 2 2 2 2 4 4" xfId="10375" xr:uid="{113E3066-3B48-41AB-8570-6D349DF304C9}"/>
    <cellStyle name="Note 2 2 2 2 5" xfId="2250" xr:uid="{00000000-0005-0000-0000-0000A4200000}"/>
    <cellStyle name="Note 2 2 2 2 5 2" xfId="4479" xr:uid="{00000000-0005-0000-0000-0000A5200000}"/>
    <cellStyle name="Note 2 2 2 2 5 2 2" xfId="8701" xr:uid="{00000000-0005-0000-0000-0000A6200000}"/>
    <cellStyle name="Note 2 2 2 2 5 2 2 2" xfId="17151" xr:uid="{1861E7EF-46D1-41F8-B364-AE863F854104}"/>
    <cellStyle name="Note 2 2 2 2 5 2 3" xfId="12933" xr:uid="{2A04187F-891F-4B64-B9A8-6CEE074ACEEE}"/>
    <cellStyle name="Note 2 2 2 2 5 3" xfId="6556" xr:uid="{00000000-0005-0000-0000-0000A7200000}"/>
    <cellStyle name="Note 2 2 2 2 5 3 2" xfId="15006" xr:uid="{E191093C-EB4D-455A-88B2-95F3A08700A2}"/>
    <cellStyle name="Note 2 2 2 2 5 4" xfId="10788" xr:uid="{DDB80921-9797-4070-BBE4-95D491D4DE10}"/>
    <cellStyle name="Note 2 2 2 2 6" xfId="2686" xr:uid="{00000000-0005-0000-0000-0000A8200000}"/>
    <cellStyle name="Note 2 2 2 2 6 2" xfId="6969" xr:uid="{00000000-0005-0000-0000-0000A9200000}"/>
    <cellStyle name="Note 2 2 2 2 6 2 2" xfId="15419" xr:uid="{A795BBC4-1223-4FAF-891E-C266DD711C18}"/>
    <cellStyle name="Note 2 2 2 2 6 3" xfId="11201" xr:uid="{8037C256-BE2C-43DE-9DA2-9FFA7AE5D196}"/>
    <cellStyle name="Note 2 2 2 2 7" xfId="2745" xr:uid="{00000000-0005-0000-0000-0000AA200000}"/>
    <cellStyle name="Note 2 2 2 2 8" xfId="2826" xr:uid="{00000000-0005-0000-0000-0000AB200000}"/>
    <cellStyle name="Note 2 2 2 2 8 2" xfId="7049" xr:uid="{00000000-0005-0000-0000-0000AC200000}"/>
    <cellStyle name="Note 2 2 2 2 8 2 2" xfId="15499" xr:uid="{B807FE0A-F055-482C-B979-E54DE5026B05}"/>
    <cellStyle name="Note 2 2 2 2 8 3" xfId="11281" xr:uid="{075AB573-C6C5-4FDA-A9D0-3F34503F83D8}"/>
    <cellStyle name="Note 2 2 2 2 9" xfId="4904" xr:uid="{00000000-0005-0000-0000-0000AD200000}"/>
    <cellStyle name="Note 2 2 2 2 9 2" xfId="13354" xr:uid="{96C8F6F5-8278-4C8F-A750-74A10BFDC411}"/>
    <cellStyle name="Note 2 2 2 3" xfId="1007" xr:uid="{00000000-0005-0000-0000-0000AE200000}"/>
    <cellStyle name="Note 2 2 2 3 2" xfId="3239" xr:uid="{00000000-0005-0000-0000-0000AF200000}"/>
    <cellStyle name="Note 2 2 2 3 2 2" xfId="7461" xr:uid="{00000000-0005-0000-0000-0000B0200000}"/>
    <cellStyle name="Note 2 2 2 3 2 2 2" xfId="15911" xr:uid="{FEDB24A9-C4F7-44AA-A804-81DDA80E17FA}"/>
    <cellStyle name="Note 2 2 2 3 2 3" xfId="11693" xr:uid="{BA44E855-E644-49B2-BE16-FAA3FF835FD3}"/>
    <cellStyle name="Note 2 2 2 3 3" xfId="5316" xr:uid="{00000000-0005-0000-0000-0000B1200000}"/>
    <cellStyle name="Note 2 2 2 3 3 2" xfId="13766" xr:uid="{7BA6E81E-FDB5-4335-95AC-41EF807BA7E9}"/>
    <cellStyle name="Note 2 2 2 3 4" xfId="9548" xr:uid="{6F6457FE-6436-4597-9A62-A012ED15D2A4}"/>
    <cellStyle name="Note 2 2 2 4" xfId="1422" xr:uid="{00000000-0005-0000-0000-0000B2200000}"/>
    <cellStyle name="Note 2 2 2 4 2" xfId="3652" xr:uid="{00000000-0005-0000-0000-0000B3200000}"/>
    <cellStyle name="Note 2 2 2 4 2 2" xfId="7874" xr:uid="{00000000-0005-0000-0000-0000B4200000}"/>
    <cellStyle name="Note 2 2 2 4 2 2 2" xfId="16324" xr:uid="{24F89330-3B1D-42D0-BB17-EC0D8C885A59}"/>
    <cellStyle name="Note 2 2 2 4 2 3" xfId="12106" xr:uid="{C493B42A-374F-40D4-AFEE-694E2B6511CB}"/>
    <cellStyle name="Note 2 2 2 4 3" xfId="5729" xr:uid="{00000000-0005-0000-0000-0000B5200000}"/>
    <cellStyle name="Note 2 2 2 4 3 2" xfId="14179" xr:uid="{2C2D6436-0A20-48CA-8DA0-6C1FAECA2C22}"/>
    <cellStyle name="Note 2 2 2 4 4" xfId="9961" xr:uid="{5452A90D-1B75-4952-85C6-9D26EC1BD15F}"/>
    <cellStyle name="Note 2 2 2 5" xfId="1836" xr:uid="{00000000-0005-0000-0000-0000B6200000}"/>
    <cellStyle name="Note 2 2 2 5 2" xfId="4065" xr:uid="{00000000-0005-0000-0000-0000B7200000}"/>
    <cellStyle name="Note 2 2 2 5 2 2" xfId="8287" xr:uid="{00000000-0005-0000-0000-0000B8200000}"/>
    <cellStyle name="Note 2 2 2 5 2 2 2" xfId="16737" xr:uid="{B62DE7D4-F86D-4B4D-837D-D122AC836E0A}"/>
    <cellStyle name="Note 2 2 2 5 2 3" xfId="12519" xr:uid="{A723E55C-4DB2-4F76-92BC-472E9510F46E}"/>
    <cellStyle name="Note 2 2 2 5 3" xfId="6142" xr:uid="{00000000-0005-0000-0000-0000B9200000}"/>
    <cellStyle name="Note 2 2 2 5 3 2" xfId="14592" xr:uid="{E36B6CA5-2F02-4E0F-9CBB-8543B64B1316}"/>
    <cellStyle name="Note 2 2 2 5 4" xfId="10374" xr:uid="{BA3F7B1B-B9B7-4F1A-B5E5-D1DC7F2ECDAA}"/>
    <cellStyle name="Note 2 2 2 6" xfId="2249" xr:uid="{00000000-0005-0000-0000-0000BA200000}"/>
    <cellStyle name="Note 2 2 2 6 2" xfId="4478" xr:uid="{00000000-0005-0000-0000-0000BB200000}"/>
    <cellStyle name="Note 2 2 2 6 2 2" xfId="8700" xr:uid="{00000000-0005-0000-0000-0000BC200000}"/>
    <cellStyle name="Note 2 2 2 6 2 2 2" xfId="17150" xr:uid="{031C4AFF-D506-4A74-A0A6-86EE4CE94860}"/>
    <cellStyle name="Note 2 2 2 6 2 3" xfId="12932" xr:uid="{711F0FDA-0CC9-4BE4-AB7C-1C28C5F7873F}"/>
    <cellStyle name="Note 2 2 2 6 3" xfId="6555" xr:uid="{00000000-0005-0000-0000-0000BD200000}"/>
    <cellStyle name="Note 2 2 2 6 3 2" xfId="15005" xr:uid="{E4D85AED-2E01-4596-A698-937A5D1AEE0A}"/>
    <cellStyle name="Note 2 2 2 6 4" xfId="10787" xr:uid="{91248BB2-886A-4DA0-8758-544CB4F72F7E}"/>
    <cellStyle name="Note 2 2 2 7" xfId="2685" xr:uid="{00000000-0005-0000-0000-0000BE200000}"/>
    <cellStyle name="Note 2 2 2 7 2" xfId="6968" xr:uid="{00000000-0005-0000-0000-0000BF200000}"/>
    <cellStyle name="Note 2 2 2 7 2 2" xfId="15418" xr:uid="{EC34AC6A-099C-4E01-95F6-DC3DA6DAB762}"/>
    <cellStyle name="Note 2 2 2 7 3" xfId="11200" xr:uid="{4B02070D-A389-4F6C-9BBD-53CAD3544D56}"/>
    <cellStyle name="Note 2 2 2 8" xfId="2744" xr:uid="{00000000-0005-0000-0000-0000C0200000}"/>
    <cellStyle name="Note 2 2 2 9" xfId="2825" xr:uid="{00000000-0005-0000-0000-0000C1200000}"/>
    <cellStyle name="Note 2 2 2 9 2" xfId="7048" xr:uid="{00000000-0005-0000-0000-0000C2200000}"/>
    <cellStyle name="Note 2 2 2 9 2 2" xfId="15498" xr:uid="{2C98A210-886C-457B-9C28-971790408572}"/>
    <cellStyle name="Note 2 2 2 9 3" xfId="11280" xr:uid="{1655E751-B320-403C-9748-06B2F95C4800}"/>
    <cellStyle name="Note 2 2 3" xfId="548" xr:uid="{00000000-0005-0000-0000-0000C3200000}"/>
    <cellStyle name="Note 2 2 3 10" xfId="9137" xr:uid="{7017D273-4D7E-4A35-B8AE-9B801FF3EC55}"/>
    <cellStyle name="Note 2 2 3 2" xfId="1009" xr:uid="{00000000-0005-0000-0000-0000C4200000}"/>
    <cellStyle name="Note 2 2 3 2 2" xfId="3241" xr:uid="{00000000-0005-0000-0000-0000C5200000}"/>
    <cellStyle name="Note 2 2 3 2 2 2" xfId="7463" xr:uid="{00000000-0005-0000-0000-0000C6200000}"/>
    <cellStyle name="Note 2 2 3 2 2 2 2" xfId="15913" xr:uid="{97E952AA-9718-4898-886C-B01EAEC150FA}"/>
    <cellStyle name="Note 2 2 3 2 2 3" xfId="11695" xr:uid="{F3B8F587-79A3-41EC-AD91-5B6B3527A8ED}"/>
    <cellStyle name="Note 2 2 3 2 3" xfId="5318" xr:uid="{00000000-0005-0000-0000-0000C7200000}"/>
    <cellStyle name="Note 2 2 3 2 3 2" xfId="13768" xr:uid="{9D19C7FA-16C9-45EF-A390-4477BA176811}"/>
    <cellStyle name="Note 2 2 3 2 4" xfId="9550" xr:uid="{5D90587C-1481-4958-9FAE-1BE630365545}"/>
    <cellStyle name="Note 2 2 3 3" xfId="1424" xr:uid="{00000000-0005-0000-0000-0000C8200000}"/>
    <cellStyle name="Note 2 2 3 3 2" xfId="3654" xr:uid="{00000000-0005-0000-0000-0000C9200000}"/>
    <cellStyle name="Note 2 2 3 3 2 2" xfId="7876" xr:uid="{00000000-0005-0000-0000-0000CA200000}"/>
    <cellStyle name="Note 2 2 3 3 2 2 2" xfId="16326" xr:uid="{8D29B374-50B4-4C97-BA3B-71DC155FC7F8}"/>
    <cellStyle name="Note 2 2 3 3 2 3" xfId="12108" xr:uid="{AEB635DE-2542-4762-9957-F50906E2E372}"/>
    <cellStyle name="Note 2 2 3 3 3" xfId="5731" xr:uid="{00000000-0005-0000-0000-0000CB200000}"/>
    <cellStyle name="Note 2 2 3 3 3 2" xfId="14181" xr:uid="{BD54E654-7029-4798-9437-B760BC1F1C7A}"/>
    <cellStyle name="Note 2 2 3 3 4" xfId="9963" xr:uid="{D6A43C9D-E50F-494A-83D5-F94F0E00E58E}"/>
    <cellStyle name="Note 2 2 3 4" xfId="1838" xr:uid="{00000000-0005-0000-0000-0000CC200000}"/>
    <cellStyle name="Note 2 2 3 4 2" xfId="4067" xr:uid="{00000000-0005-0000-0000-0000CD200000}"/>
    <cellStyle name="Note 2 2 3 4 2 2" xfId="8289" xr:uid="{00000000-0005-0000-0000-0000CE200000}"/>
    <cellStyle name="Note 2 2 3 4 2 2 2" xfId="16739" xr:uid="{DC0EFD2C-97E6-4B36-8825-3500AB1B50D2}"/>
    <cellStyle name="Note 2 2 3 4 2 3" xfId="12521" xr:uid="{2B4AF370-A989-4F69-9EDB-29A82B0CB499}"/>
    <cellStyle name="Note 2 2 3 4 3" xfId="6144" xr:uid="{00000000-0005-0000-0000-0000CF200000}"/>
    <cellStyle name="Note 2 2 3 4 3 2" xfId="14594" xr:uid="{A3741D98-4F7B-4935-85B3-904C240AE8B5}"/>
    <cellStyle name="Note 2 2 3 4 4" xfId="10376" xr:uid="{B0D0CC3D-1CBD-4713-9B76-8E653CAA85DF}"/>
    <cellStyle name="Note 2 2 3 5" xfId="2251" xr:uid="{00000000-0005-0000-0000-0000D0200000}"/>
    <cellStyle name="Note 2 2 3 5 2" xfId="4480" xr:uid="{00000000-0005-0000-0000-0000D1200000}"/>
    <cellStyle name="Note 2 2 3 5 2 2" xfId="8702" xr:uid="{00000000-0005-0000-0000-0000D2200000}"/>
    <cellStyle name="Note 2 2 3 5 2 2 2" xfId="17152" xr:uid="{2C5E3293-FE10-43F4-852B-AF697CA84FB9}"/>
    <cellStyle name="Note 2 2 3 5 2 3" xfId="12934" xr:uid="{FD92508A-6C4D-4275-9A76-5C762D7C82F0}"/>
    <cellStyle name="Note 2 2 3 5 3" xfId="6557" xr:uid="{00000000-0005-0000-0000-0000D3200000}"/>
    <cellStyle name="Note 2 2 3 5 3 2" xfId="15007" xr:uid="{8C5B682B-FF3A-455D-9C9B-F48F34D310BC}"/>
    <cellStyle name="Note 2 2 3 5 4" xfId="10789" xr:uid="{30DC1B8F-3A62-4183-84C5-7362DBB79280}"/>
    <cellStyle name="Note 2 2 3 6" xfId="2687" xr:uid="{00000000-0005-0000-0000-0000D4200000}"/>
    <cellStyle name="Note 2 2 3 6 2" xfId="6970" xr:uid="{00000000-0005-0000-0000-0000D5200000}"/>
    <cellStyle name="Note 2 2 3 6 2 2" xfId="15420" xr:uid="{F9C2F358-05A3-4C67-8F18-60812253595C}"/>
    <cellStyle name="Note 2 2 3 6 3" xfId="11202" xr:uid="{BB3E352E-EB93-44BE-A911-724F25ED0961}"/>
    <cellStyle name="Note 2 2 3 7" xfId="2746" xr:uid="{00000000-0005-0000-0000-0000D6200000}"/>
    <cellStyle name="Note 2 2 3 8" xfId="2827" xr:uid="{00000000-0005-0000-0000-0000D7200000}"/>
    <cellStyle name="Note 2 2 3 8 2" xfId="7050" xr:uid="{00000000-0005-0000-0000-0000D8200000}"/>
    <cellStyle name="Note 2 2 3 8 2 2" xfId="15500" xr:uid="{BA1CAB31-A0A3-4EAA-97FA-28A1BA5AC7BD}"/>
    <cellStyle name="Note 2 2 3 8 3" xfId="11282" xr:uid="{471AC725-C873-4D2D-B949-3A8A37782793}"/>
    <cellStyle name="Note 2 2 3 9" xfId="4905" xr:uid="{00000000-0005-0000-0000-0000D9200000}"/>
    <cellStyle name="Note 2 2 3 9 2" xfId="13355" xr:uid="{81C76469-7548-4CDB-92C3-A22A61C5C22B}"/>
    <cellStyle name="Note 2 2 4" xfId="1006" xr:uid="{00000000-0005-0000-0000-0000DA200000}"/>
    <cellStyle name="Note 2 2 4 2" xfId="3238" xr:uid="{00000000-0005-0000-0000-0000DB200000}"/>
    <cellStyle name="Note 2 2 4 2 2" xfId="7460" xr:uid="{00000000-0005-0000-0000-0000DC200000}"/>
    <cellStyle name="Note 2 2 4 2 2 2" xfId="15910" xr:uid="{756C2CDE-2BB0-42B6-BA44-D1992F62F8BC}"/>
    <cellStyle name="Note 2 2 4 2 3" xfId="11692" xr:uid="{44894273-8EE1-4D8C-A92D-FFD1F31210B0}"/>
    <cellStyle name="Note 2 2 4 3" xfId="5315" xr:uid="{00000000-0005-0000-0000-0000DD200000}"/>
    <cellStyle name="Note 2 2 4 3 2" xfId="13765" xr:uid="{1ED22A93-E854-482D-BAE6-3AE0AED1BF9D}"/>
    <cellStyle name="Note 2 2 4 4" xfId="9547" xr:uid="{C46EC8EC-C3ED-4507-95CD-2BA79345A662}"/>
    <cellStyle name="Note 2 2 5" xfId="1421" xr:uid="{00000000-0005-0000-0000-0000DE200000}"/>
    <cellStyle name="Note 2 2 5 2" xfId="3651" xr:uid="{00000000-0005-0000-0000-0000DF200000}"/>
    <cellStyle name="Note 2 2 5 2 2" xfId="7873" xr:uid="{00000000-0005-0000-0000-0000E0200000}"/>
    <cellStyle name="Note 2 2 5 2 2 2" xfId="16323" xr:uid="{1517346E-5CB4-4137-AD2A-40119BD9CA33}"/>
    <cellStyle name="Note 2 2 5 2 3" xfId="12105" xr:uid="{08E7AA31-4C78-4BED-B4B0-5BB5193D6FB2}"/>
    <cellStyle name="Note 2 2 5 3" xfId="5728" xr:uid="{00000000-0005-0000-0000-0000E1200000}"/>
    <cellStyle name="Note 2 2 5 3 2" xfId="14178" xr:uid="{7AD59613-AE8E-4F3B-89AC-278E6443CF9B}"/>
    <cellStyle name="Note 2 2 5 4" xfId="9960" xr:uid="{2F7598E7-599C-4861-8770-3922C8027606}"/>
    <cellStyle name="Note 2 2 6" xfId="1835" xr:uid="{00000000-0005-0000-0000-0000E2200000}"/>
    <cellStyle name="Note 2 2 6 2" xfId="4064" xr:uid="{00000000-0005-0000-0000-0000E3200000}"/>
    <cellStyle name="Note 2 2 6 2 2" xfId="8286" xr:uid="{00000000-0005-0000-0000-0000E4200000}"/>
    <cellStyle name="Note 2 2 6 2 2 2" xfId="16736" xr:uid="{8A12AB47-78AB-4133-8D94-735B0B3F1E59}"/>
    <cellStyle name="Note 2 2 6 2 3" xfId="12518" xr:uid="{7A30ACC5-0598-4F4B-852D-DC66F9D81311}"/>
    <cellStyle name="Note 2 2 6 3" xfId="6141" xr:uid="{00000000-0005-0000-0000-0000E5200000}"/>
    <cellStyle name="Note 2 2 6 3 2" xfId="14591" xr:uid="{6F0E6C84-7C4C-4F04-B6B3-6D31BECE9563}"/>
    <cellStyle name="Note 2 2 6 4" xfId="10373" xr:uid="{B0D33453-EE6F-476D-976D-C083B401D21B}"/>
    <cellStyle name="Note 2 2 7" xfId="2248" xr:uid="{00000000-0005-0000-0000-0000E6200000}"/>
    <cellStyle name="Note 2 2 7 2" xfId="4477" xr:uid="{00000000-0005-0000-0000-0000E7200000}"/>
    <cellStyle name="Note 2 2 7 2 2" xfId="8699" xr:uid="{00000000-0005-0000-0000-0000E8200000}"/>
    <cellStyle name="Note 2 2 7 2 2 2" xfId="17149" xr:uid="{0ACA45FF-C273-44B0-8EA5-FE4EEAA6F5FA}"/>
    <cellStyle name="Note 2 2 7 2 3" xfId="12931" xr:uid="{BAD592CA-5893-49F9-B7FC-B0B8470C5E25}"/>
    <cellStyle name="Note 2 2 7 3" xfId="6554" xr:uid="{00000000-0005-0000-0000-0000E9200000}"/>
    <cellStyle name="Note 2 2 7 3 2" xfId="15004" xr:uid="{D543BCBD-20E1-4084-9DFB-318C4D3EE323}"/>
    <cellStyle name="Note 2 2 7 4" xfId="10786" xr:uid="{48118BC9-987F-43A8-9F7B-0495A1FD0992}"/>
    <cellStyle name="Note 2 2 8" xfId="2684" xr:uid="{00000000-0005-0000-0000-0000EA200000}"/>
    <cellStyle name="Note 2 2 8 2" xfId="6967" xr:uid="{00000000-0005-0000-0000-0000EB200000}"/>
    <cellStyle name="Note 2 2 8 2 2" xfId="15417" xr:uid="{6B366C1D-925A-4E9C-B5DC-87FD0FB774F8}"/>
    <cellStyle name="Note 2 2 8 3" xfId="11199" xr:uid="{40B16B94-7DB3-478F-B411-D8D0473B3B76}"/>
    <cellStyle name="Note 2 2 9" xfId="2743" xr:uid="{00000000-0005-0000-0000-0000EC200000}"/>
    <cellStyle name="Note 2 3" xfId="549" xr:uid="{00000000-0005-0000-0000-0000ED200000}"/>
    <cellStyle name="Note 2 3 10" xfId="4906" xr:uid="{00000000-0005-0000-0000-0000EE200000}"/>
    <cellStyle name="Note 2 3 10 2" xfId="13356" xr:uid="{04D9956F-255C-42A1-8E8B-95666AECC489}"/>
    <cellStyle name="Note 2 3 11" xfId="9138" xr:uid="{54DF82B2-81E2-440E-AD55-0D6337532B45}"/>
    <cellStyle name="Note 2 3 2" xfId="550" xr:uid="{00000000-0005-0000-0000-0000EF200000}"/>
    <cellStyle name="Note 2 3 2 10" xfId="9139" xr:uid="{C9833EFA-0907-4ADE-80F4-C0B28F98EEA0}"/>
    <cellStyle name="Note 2 3 2 2" xfId="1011" xr:uid="{00000000-0005-0000-0000-0000F0200000}"/>
    <cellStyle name="Note 2 3 2 2 2" xfId="3243" xr:uid="{00000000-0005-0000-0000-0000F1200000}"/>
    <cellStyle name="Note 2 3 2 2 2 2" xfId="7465" xr:uid="{00000000-0005-0000-0000-0000F2200000}"/>
    <cellStyle name="Note 2 3 2 2 2 2 2" xfId="15915" xr:uid="{347F2804-B30C-4641-A341-B4FAF9E5594C}"/>
    <cellStyle name="Note 2 3 2 2 2 3" xfId="11697" xr:uid="{7EC61236-90C0-4DF2-AB89-3D484A3863F0}"/>
    <cellStyle name="Note 2 3 2 2 3" xfId="5320" xr:uid="{00000000-0005-0000-0000-0000F3200000}"/>
    <cellStyle name="Note 2 3 2 2 3 2" xfId="13770" xr:uid="{9CE037B3-F779-4C44-853A-FA20C968E904}"/>
    <cellStyle name="Note 2 3 2 2 4" xfId="9552" xr:uid="{96030EAC-31C3-4B3E-8A39-2AB617BE1E0D}"/>
    <cellStyle name="Note 2 3 2 3" xfId="1426" xr:uid="{00000000-0005-0000-0000-0000F4200000}"/>
    <cellStyle name="Note 2 3 2 3 2" xfId="3656" xr:uid="{00000000-0005-0000-0000-0000F5200000}"/>
    <cellStyle name="Note 2 3 2 3 2 2" xfId="7878" xr:uid="{00000000-0005-0000-0000-0000F6200000}"/>
    <cellStyle name="Note 2 3 2 3 2 2 2" xfId="16328" xr:uid="{5345AF37-58C8-41AA-8D4D-62A291596197}"/>
    <cellStyle name="Note 2 3 2 3 2 3" xfId="12110" xr:uid="{12C373DF-02B5-4F27-B507-9D10849671A5}"/>
    <cellStyle name="Note 2 3 2 3 3" xfId="5733" xr:uid="{00000000-0005-0000-0000-0000F7200000}"/>
    <cellStyle name="Note 2 3 2 3 3 2" xfId="14183" xr:uid="{B906BD6B-3444-46E7-A8AB-8CB529D85FAD}"/>
    <cellStyle name="Note 2 3 2 3 4" xfId="9965" xr:uid="{56B27FE6-3038-4CA8-BEF1-AD035791CFDF}"/>
    <cellStyle name="Note 2 3 2 4" xfId="1840" xr:uid="{00000000-0005-0000-0000-0000F8200000}"/>
    <cellStyle name="Note 2 3 2 4 2" xfId="4069" xr:uid="{00000000-0005-0000-0000-0000F9200000}"/>
    <cellStyle name="Note 2 3 2 4 2 2" xfId="8291" xr:uid="{00000000-0005-0000-0000-0000FA200000}"/>
    <cellStyle name="Note 2 3 2 4 2 2 2" xfId="16741" xr:uid="{8ABBA8BA-3704-471B-919D-02EBA108C1D9}"/>
    <cellStyle name="Note 2 3 2 4 2 3" xfId="12523" xr:uid="{B9E94C8B-66F5-4534-B23B-741F66B2AF34}"/>
    <cellStyle name="Note 2 3 2 4 3" xfId="6146" xr:uid="{00000000-0005-0000-0000-0000FB200000}"/>
    <cellStyle name="Note 2 3 2 4 3 2" xfId="14596" xr:uid="{FA1902F4-9038-4A45-86C3-71B7D75BC0D8}"/>
    <cellStyle name="Note 2 3 2 4 4" xfId="10378" xr:uid="{F95E7428-9691-4C4E-8209-9303CCED1409}"/>
    <cellStyle name="Note 2 3 2 5" xfId="2253" xr:uid="{00000000-0005-0000-0000-0000FC200000}"/>
    <cellStyle name="Note 2 3 2 5 2" xfId="4482" xr:uid="{00000000-0005-0000-0000-0000FD200000}"/>
    <cellStyle name="Note 2 3 2 5 2 2" xfId="8704" xr:uid="{00000000-0005-0000-0000-0000FE200000}"/>
    <cellStyle name="Note 2 3 2 5 2 2 2" xfId="17154" xr:uid="{EFAC064F-ECCC-47AE-8659-F8200EC17048}"/>
    <cellStyle name="Note 2 3 2 5 2 3" xfId="12936" xr:uid="{7C1E1F04-7560-48A8-B339-F4150B003D87}"/>
    <cellStyle name="Note 2 3 2 5 3" xfId="6559" xr:uid="{00000000-0005-0000-0000-0000FF200000}"/>
    <cellStyle name="Note 2 3 2 5 3 2" xfId="15009" xr:uid="{6A57104F-39F0-418B-A378-25F8A3494DCA}"/>
    <cellStyle name="Note 2 3 2 5 4" xfId="10791" xr:uid="{F57CBE55-7FA1-480D-A46E-3813956C82A3}"/>
    <cellStyle name="Note 2 3 2 6" xfId="2689" xr:uid="{00000000-0005-0000-0000-000000210000}"/>
    <cellStyle name="Note 2 3 2 6 2" xfId="6972" xr:uid="{00000000-0005-0000-0000-000001210000}"/>
    <cellStyle name="Note 2 3 2 6 2 2" xfId="15422" xr:uid="{4570EB0A-D979-44DE-BD4B-DAF9C6F30E5C}"/>
    <cellStyle name="Note 2 3 2 6 3" xfId="11204" xr:uid="{B564D869-59A0-4FBA-9A63-AB5F8E09D256}"/>
    <cellStyle name="Note 2 3 2 7" xfId="2748" xr:uid="{00000000-0005-0000-0000-000002210000}"/>
    <cellStyle name="Note 2 3 2 8" xfId="2829" xr:uid="{00000000-0005-0000-0000-000003210000}"/>
    <cellStyle name="Note 2 3 2 8 2" xfId="7052" xr:uid="{00000000-0005-0000-0000-000004210000}"/>
    <cellStyle name="Note 2 3 2 8 2 2" xfId="15502" xr:uid="{D72E81C9-8D9D-4492-BD36-1CDE76ED07D2}"/>
    <cellStyle name="Note 2 3 2 8 3" xfId="11284" xr:uid="{D7AE3D9B-A3FC-4678-8647-F28CD09F96A5}"/>
    <cellStyle name="Note 2 3 2 9" xfId="4907" xr:uid="{00000000-0005-0000-0000-000005210000}"/>
    <cellStyle name="Note 2 3 2 9 2" xfId="13357" xr:uid="{7B720501-064C-4DA6-8D51-92A82CE81E10}"/>
    <cellStyle name="Note 2 3 3" xfId="1010" xr:uid="{00000000-0005-0000-0000-000006210000}"/>
    <cellStyle name="Note 2 3 3 2" xfId="3242" xr:uid="{00000000-0005-0000-0000-000007210000}"/>
    <cellStyle name="Note 2 3 3 2 2" xfId="7464" xr:uid="{00000000-0005-0000-0000-000008210000}"/>
    <cellStyle name="Note 2 3 3 2 2 2" xfId="15914" xr:uid="{63B3369C-7202-4EE7-AC56-0D154F8F1F88}"/>
    <cellStyle name="Note 2 3 3 2 3" xfId="11696" xr:uid="{0DEEC4F2-57C7-4F16-9F67-B05BDDD7200E}"/>
    <cellStyle name="Note 2 3 3 3" xfId="5319" xr:uid="{00000000-0005-0000-0000-000009210000}"/>
    <cellStyle name="Note 2 3 3 3 2" xfId="13769" xr:uid="{30687DA2-A634-4061-AD9D-D3695DE5FD3E}"/>
    <cellStyle name="Note 2 3 3 4" xfId="9551" xr:uid="{13D341E7-D8B0-437A-85AF-9291E5AAB3A0}"/>
    <cellStyle name="Note 2 3 4" xfId="1425" xr:uid="{00000000-0005-0000-0000-00000A210000}"/>
    <cellStyle name="Note 2 3 4 2" xfId="3655" xr:uid="{00000000-0005-0000-0000-00000B210000}"/>
    <cellStyle name="Note 2 3 4 2 2" xfId="7877" xr:uid="{00000000-0005-0000-0000-00000C210000}"/>
    <cellStyle name="Note 2 3 4 2 2 2" xfId="16327" xr:uid="{7F12C738-FDD8-4C91-9DDC-1C9E4B139D32}"/>
    <cellStyle name="Note 2 3 4 2 3" xfId="12109" xr:uid="{1063DD7B-C618-46E3-8E6F-21C941E8C20C}"/>
    <cellStyle name="Note 2 3 4 3" xfId="5732" xr:uid="{00000000-0005-0000-0000-00000D210000}"/>
    <cellStyle name="Note 2 3 4 3 2" xfId="14182" xr:uid="{50652B04-F7CB-49DC-907D-8EA54D125095}"/>
    <cellStyle name="Note 2 3 4 4" xfId="9964" xr:uid="{A6EEABB0-2411-4A91-BB3A-3A8253BD33F2}"/>
    <cellStyle name="Note 2 3 5" xfId="1839" xr:uid="{00000000-0005-0000-0000-00000E210000}"/>
    <cellStyle name="Note 2 3 5 2" xfId="4068" xr:uid="{00000000-0005-0000-0000-00000F210000}"/>
    <cellStyle name="Note 2 3 5 2 2" xfId="8290" xr:uid="{00000000-0005-0000-0000-000010210000}"/>
    <cellStyle name="Note 2 3 5 2 2 2" xfId="16740" xr:uid="{89842F16-B27B-4218-B107-E20F874E2B2A}"/>
    <cellStyle name="Note 2 3 5 2 3" xfId="12522" xr:uid="{C84DF075-5B81-4488-85CD-9367F4D9A722}"/>
    <cellStyle name="Note 2 3 5 3" xfId="6145" xr:uid="{00000000-0005-0000-0000-000011210000}"/>
    <cellStyle name="Note 2 3 5 3 2" xfId="14595" xr:uid="{2AD1B62C-FB55-4D03-A2D6-01A3C997D60D}"/>
    <cellStyle name="Note 2 3 5 4" xfId="10377" xr:uid="{734DCA7D-B042-4E69-828B-498BFA852BB7}"/>
    <cellStyle name="Note 2 3 6" xfId="2252" xr:uid="{00000000-0005-0000-0000-000012210000}"/>
    <cellStyle name="Note 2 3 6 2" xfId="4481" xr:uid="{00000000-0005-0000-0000-000013210000}"/>
    <cellStyle name="Note 2 3 6 2 2" xfId="8703" xr:uid="{00000000-0005-0000-0000-000014210000}"/>
    <cellStyle name="Note 2 3 6 2 2 2" xfId="17153" xr:uid="{51E4DF42-F19E-4B66-B454-92833D30E721}"/>
    <cellStyle name="Note 2 3 6 2 3" xfId="12935" xr:uid="{4844C721-78E4-4AB2-9382-496D06574E09}"/>
    <cellStyle name="Note 2 3 6 3" xfId="6558" xr:uid="{00000000-0005-0000-0000-000015210000}"/>
    <cellStyle name="Note 2 3 6 3 2" xfId="15008" xr:uid="{7D55C1D3-5444-4EEE-AE92-89084064A193}"/>
    <cellStyle name="Note 2 3 6 4" xfId="10790" xr:uid="{261A676E-3DA7-4AE2-95BF-705DAB9A8C6D}"/>
    <cellStyle name="Note 2 3 7" xfId="2688" xr:uid="{00000000-0005-0000-0000-000016210000}"/>
    <cellStyle name="Note 2 3 7 2" xfId="6971" xr:uid="{00000000-0005-0000-0000-000017210000}"/>
    <cellStyle name="Note 2 3 7 2 2" xfId="15421" xr:uid="{3BDA130B-A99E-4CE4-9067-24BA75F43F5B}"/>
    <cellStyle name="Note 2 3 7 3" xfId="11203" xr:uid="{2B21C4CC-B22E-4B55-BA5D-FC14C11D4532}"/>
    <cellStyle name="Note 2 3 8" xfId="2747" xr:uid="{00000000-0005-0000-0000-000018210000}"/>
    <cellStyle name="Note 2 3 9" xfId="2828" xr:uid="{00000000-0005-0000-0000-000019210000}"/>
    <cellStyle name="Note 2 3 9 2" xfId="7051" xr:uid="{00000000-0005-0000-0000-00001A210000}"/>
    <cellStyle name="Note 2 3 9 2 2" xfId="15501" xr:uid="{A07D9EBF-FCEE-4398-BA2E-7C13F1DE8506}"/>
    <cellStyle name="Note 2 3 9 3" xfId="11283" xr:uid="{C7384461-3AED-4019-8C29-51A121302F0F}"/>
    <cellStyle name="Note 2 4" xfId="551" xr:uid="{00000000-0005-0000-0000-00001B210000}"/>
    <cellStyle name="Note 2 4 10" xfId="9140" xr:uid="{9C1A8C38-D791-41F7-AAD4-8ABCE1FE8F73}"/>
    <cellStyle name="Note 2 4 2" xfId="1012" xr:uid="{00000000-0005-0000-0000-00001C210000}"/>
    <cellStyle name="Note 2 4 2 2" xfId="3244" xr:uid="{00000000-0005-0000-0000-00001D210000}"/>
    <cellStyle name="Note 2 4 2 2 2" xfId="7466" xr:uid="{00000000-0005-0000-0000-00001E210000}"/>
    <cellStyle name="Note 2 4 2 2 2 2" xfId="15916" xr:uid="{67E02662-1EAC-4346-8FDF-1FA321F83DF5}"/>
    <cellStyle name="Note 2 4 2 2 3" xfId="11698" xr:uid="{806A2392-4504-4480-BB87-6D3241940692}"/>
    <cellStyle name="Note 2 4 2 3" xfId="5321" xr:uid="{00000000-0005-0000-0000-00001F210000}"/>
    <cellStyle name="Note 2 4 2 3 2" xfId="13771" xr:uid="{07324B99-52D8-4491-A6C1-3C0D167D6653}"/>
    <cellStyle name="Note 2 4 2 4" xfId="9553" xr:uid="{73D147CC-02E7-4E73-B56A-E41E0257ACAD}"/>
    <cellStyle name="Note 2 4 3" xfId="1427" xr:uid="{00000000-0005-0000-0000-000020210000}"/>
    <cellStyle name="Note 2 4 3 2" xfId="3657" xr:uid="{00000000-0005-0000-0000-000021210000}"/>
    <cellStyle name="Note 2 4 3 2 2" xfId="7879" xr:uid="{00000000-0005-0000-0000-000022210000}"/>
    <cellStyle name="Note 2 4 3 2 2 2" xfId="16329" xr:uid="{7D3433A3-3066-4B89-AF61-8A411F3944C3}"/>
    <cellStyle name="Note 2 4 3 2 3" xfId="12111" xr:uid="{4377D3DB-CCAD-4EE8-9F12-D156C1ADB2F1}"/>
    <cellStyle name="Note 2 4 3 3" xfId="5734" xr:uid="{00000000-0005-0000-0000-000023210000}"/>
    <cellStyle name="Note 2 4 3 3 2" xfId="14184" xr:uid="{AC7EC9A5-EC49-4657-89AD-4F5EEDF2F074}"/>
    <cellStyle name="Note 2 4 3 4" xfId="9966" xr:uid="{B34275CC-9AD3-4883-8EEB-FBDC82852F9F}"/>
    <cellStyle name="Note 2 4 4" xfId="1841" xr:uid="{00000000-0005-0000-0000-000024210000}"/>
    <cellStyle name="Note 2 4 4 2" xfId="4070" xr:uid="{00000000-0005-0000-0000-000025210000}"/>
    <cellStyle name="Note 2 4 4 2 2" xfId="8292" xr:uid="{00000000-0005-0000-0000-000026210000}"/>
    <cellStyle name="Note 2 4 4 2 2 2" xfId="16742" xr:uid="{6C010F7F-3EB6-4235-812E-5A146C25A94C}"/>
    <cellStyle name="Note 2 4 4 2 3" xfId="12524" xr:uid="{51178310-34D9-403A-8ABB-5996E47D9379}"/>
    <cellStyle name="Note 2 4 4 3" xfId="6147" xr:uid="{00000000-0005-0000-0000-000027210000}"/>
    <cellStyle name="Note 2 4 4 3 2" xfId="14597" xr:uid="{C9864637-EADA-4475-820F-0631317025AB}"/>
    <cellStyle name="Note 2 4 4 4" xfId="10379" xr:uid="{9145FD31-963F-4E7F-A862-7A738765DB8A}"/>
    <cellStyle name="Note 2 4 5" xfId="2254" xr:uid="{00000000-0005-0000-0000-000028210000}"/>
    <cellStyle name="Note 2 4 5 2" xfId="4483" xr:uid="{00000000-0005-0000-0000-000029210000}"/>
    <cellStyle name="Note 2 4 5 2 2" xfId="8705" xr:uid="{00000000-0005-0000-0000-00002A210000}"/>
    <cellStyle name="Note 2 4 5 2 2 2" xfId="17155" xr:uid="{FD58AC12-9C94-4AED-B504-65B42DC04B52}"/>
    <cellStyle name="Note 2 4 5 2 3" xfId="12937" xr:uid="{18D5DAE0-347D-4D45-8916-8B06AAA9ECBA}"/>
    <cellStyle name="Note 2 4 5 3" xfId="6560" xr:uid="{00000000-0005-0000-0000-00002B210000}"/>
    <cellStyle name="Note 2 4 5 3 2" xfId="15010" xr:uid="{7D9FA027-8A1C-4618-8156-39F7CB3DA49E}"/>
    <cellStyle name="Note 2 4 5 4" xfId="10792" xr:uid="{AF2C6BDA-ADC2-4192-9D58-8F49C2943B68}"/>
    <cellStyle name="Note 2 4 6" xfId="2690" xr:uid="{00000000-0005-0000-0000-00002C210000}"/>
    <cellStyle name="Note 2 4 6 2" xfId="6973" xr:uid="{00000000-0005-0000-0000-00002D210000}"/>
    <cellStyle name="Note 2 4 6 2 2" xfId="15423" xr:uid="{216779F5-6933-4211-B45B-1B3A7EE40CD0}"/>
    <cellStyle name="Note 2 4 6 3" xfId="11205" xr:uid="{F1B78B7C-186C-4621-A7A5-BB9C56B9E9E2}"/>
    <cellStyle name="Note 2 4 7" xfId="2749" xr:uid="{00000000-0005-0000-0000-00002E210000}"/>
    <cellStyle name="Note 2 4 8" xfId="2830" xr:uid="{00000000-0005-0000-0000-00002F210000}"/>
    <cellStyle name="Note 2 4 8 2" xfId="7053" xr:uid="{00000000-0005-0000-0000-000030210000}"/>
    <cellStyle name="Note 2 4 8 2 2" xfId="15503" xr:uid="{790C64B4-E493-4AF8-879C-60914D0533E0}"/>
    <cellStyle name="Note 2 4 8 3" xfId="11285" xr:uid="{749819EE-0D65-4EAA-B4BC-0C2D0FDCACE3}"/>
    <cellStyle name="Note 2 4 9" xfId="4908" xr:uid="{00000000-0005-0000-0000-000031210000}"/>
    <cellStyle name="Note 2 4 9 2" xfId="13358" xr:uid="{446EE6E2-1564-46AE-B088-A629B9CDC4AB}"/>
    <cellStyle name="Note 2 5" xfId="552" xr:uid="{00000000-0005-0000-0000-000032210000}"/>
    <cellStyle name="Note 2 5 10" xfId="9141" xr:uid="{ED3DD3A6-B8D3-419A-94F2-40FAA8F7D3A9}"/>
    <cellStyle name="Note 2 5 2" xfId="1013" xr:uid="{00000000-0005-0000-0000-000033210000}"/>
    <cellStyle name="Note 2 5 2 2" xfId="3245" xr:uid="{00000000-0005-0000-0000-000034210000}"/>
    <cellStyle name="Note 2 5 2 2 2" xfId="7467" xr:uid="{00000000-0005-0000-0000-000035210000}"/>
    <cellStyle name="Note 2 5 2 2 2 2" xfId="15917" xr:uid="{B59BA014-BCBE-4B2F-839F-50CD2B7A349F}"/>
    <cellStyle name="Note 2 5 2 2 3" xfId="11699" xr:uid="{7DACD14B-AF09-4148-B5E0-08546B7FB99B}"/>
    <cellStyle name="Note 2 5 2 3" xfId="5322" xr:uid="{00000000-0005-0000-0000-000036210000}"/>
    <cellStyle name="Note 2 5 2 3 2" xfId="13772" xr:uid="{12B10B50-205F-4C4B-8719-C17A57CDABED}"/>
    <cellStyle name="Note 2 5 2 4" xfId="9554" xr:uid="{CDF3061B-12E6-4903-86DE-13D0134F8361}"/>
    <cellStyle name="Note 2 5 3" xfId="1428" xr:uid="{00000000-0005-0000-0000-000037210000}"/>
    <cellStyle name="Note 2 5 3 2" xfId="3658" xr:uid="{00000000-0005-0000-0000-000038210000}"/>
    <cellStyle name="Note 2 5 3 2 2" xfId="7880" xr:uid="{00000000-0005-0000-0000-000039210000}"/>
    <cellStyle name="Note 2 5 3 2 2 2" xfId="16330" xr:uid="{31A6FF3E-A968-4D4C-AFD8-BB4D9A8E3A02}"/>
    <cellStyle name="Note 2 5 3 2 3" xfId="12112" xr:uid="{D90926C6-8F90-4220-BD7F-6A5FBBA19B65}"/>
    <cellStyle name="Note 2 5 3 3" xfId="5735" xr:uid="{00000000-0005-0000-0000-00003A210000}"/>
    <cellStyle name="Note 2 5 3 3 2" xfId="14185" xr:uid="{5184BBBA-33E1-4BE2-AF15-6FC9B91E838B}"/>
    <cellStyle name="Note 2 5 3 4" xfId="9967" xr:uid="{5B0D4920-8D5F-4F32-986D-249FFA0C6CBC}"/>
    <cellStyle name="Note 2 5 4" xfId="1842" xr:uid="{00000000-0005-0000-0000-00003B210000}"/>
    <cellStyle name="Note 2 5 4 2" xfId="4071" xr:uid="{00000000-0005-0000-0000-00003C210000}"/>
    <cellStyle name="Note 2 5 4 2 2" xfId="8293" xr:uid="{00000000-0005-0000-0000-00003D210000}"/>
    <cellStyle name="Note 2 5 4 2 2 2" xfId="16743" xr:uid="{A806F70F-47B7-4A9A-9931-38AF18985937}"/>
    <cellStyle name="Note 2 5 4 2 3" xfId="12525" xr:uid="{5F96F050-BFB2-4B1C-BE77-4E4D3E46547C}"/>
    <cellStyle name="Note 2 5 4 3" xfId="6148" xr:uid="{00000000-0005-0000-0000-00003E210000}"/>
    <cellStyle name="Note 2 5 4 3 2" xfId="14598" xr:uid="{1D205B69-641E-45A9-A854-F7FD7072C86B}"/>
    <cellStyle name="Note 2 5 4 4" xfId="10380" xr:uid="{56363D34-6A78-419E-B026-0A73CEB91E89}"/>
    <cellStyle name="Note 2 5 5" xfId="2255" xr:uid="{00000000-0005-0000-0000-00003F210000}"/>
    <cellStyle name="Note 2 5 5 2" xfId="4484" xr:uid="{00000000-0005-0000-0000-000040210000}"/>
    <cellStyle name="Note 2 5 5 2 2" xfId="8706" xr:uid="{00000000-0005-0000-0000-000041210000}"/>
    <cellStyle name="Note 2 5 5 2 2 2" xfId="17156" xr:uid="{60AA2A97-EDD4-4E1A-9CC6-7D67B1B863CD}"/>
    <cellStyle name="Note 2 5 5 2 3" xfId="12938" xr:uid="{A5D188BD-8132-4113-803F-0F344CE747B8}"/>
    <cellStyle name="Note 2 5 5 3" xfId="6561" xr:uid="{00000000-0005-0000-0000-000042210000}"/>
    <cellStyle name="Note 2 5 5 3 2" xfId="15011" xr:uid="{02A01FDA-5B0A-49E3-8198-D1F38428DDA0}"/>
    <cellStyle name="Note 2 5 5 4" xfId="10793" xr:uid="{3B09C946-8D86-4856-8DE1-00344DB2B307}"/>
    <cellStyle name="Note 2 5 6" xfId="2691" xr:uid="{00000000-0005-0000-0000-000043210000}"/>
    <cellStyle name="Note 2 5 6 2" xfId="6974" xr:uid="{00000000-0005-0000-0000-000044210000}"/>
    <cellStyle name="Note 2 5 6 2 2" xfId="15424" xr:uid="{E273ACB9-E7CC-4C71-BCC5-41BEF22E8214}"/>
    <cellStyle name="Note 2 5 6 3" xfId="11206" xr:uid="{10CBC512-C405-4084-90D7-F0F9EE17A95B}"/>
    <cellStyle name="Note 2 5 7" xfId="2750" xr:uid="{00000000-0005-0000-0000-000045210000}"/>
    <cellStyle name="Note 2 5 8" xfId="2831" xr:uid="{00000000-0005-0000-0000-000046210000}"/>
    <cellStyle name="Note 2 5 8 2" xfId="7054" xr:uid="{00000000-0005-0000-0000-000047210000}"/>
    <cellStyle name="Note 2 5 8 2 2" xfId="15504" xr:uid="{36DA5F9C-9CA6-4EE7-8097-1A7FFFD068A5}"/>
    <cellStyle name="Note 2 5 8 3" xfId="11286" xr:uid="{A213E6D1-2F28-4752-AA92-E60591B2D490}"/>
    <cellStyle name="Note 2 5 9" xfId="4909" xr:uid="{00000000-0005-0000-0000-000048210000}"/>
    <cellStyle name="Note 2 5 9 2" xfId="13359" xr:uid="{C34A2F37-94E2-41F3-8E1C-D0A9D3A8AEBA}"/>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0 2 2" xfId="15505" xr:uid="{CEF8728B-1FF4-433D-924C-CF607270584D}"/>
    <cellStyle name="Note 3 2 10 3" xfId="11287" xr:uid="{4E74115B-B1D2-4C47-912A-6BA97BB72AD6}"/>
    <cellStyle name="Note 3 2 11" xfId="4910" xr:uid="{00000000-0005-0000-0000-00004D210000}"/>
    <cellStyle name="Note 3 2 11 2" xfId="13360" xr:uid="{F1E818CD-3F8C-4BEF-87E0-DEB31B5214F1}"/>
    <cellStyle name="Note 3 2 12" xfId="9142" xr:uid="{52FFC481-D97A-48F9-9D47-2BD474751B0B}"/>
    <cellStyle name="Note 3 2 2" xfId="555" xr:uid="{00000000-0005-0000-0000-00004E210000}"/>
    <cellStyle name="Note 3 2 2 10" xfId="4911" xr:uid="{00000000-0005-0000-0000-00004F210000}"/>
    <cellStyle name="Note 3 2 2 10 2" xfId="13361" xr:uid="{C223D53D-B93D-4E8E-8390-DA88B4AD9644}"/>
    <cellStyle name="Note 3 2 2 11" xfId="9143" xr:uid="{AEC9B36B-9196-4E57-8B98-345DBF96029E}"/>
    <cellStyle name="Note 3 2 2 2" xfId="556" xr:uid="{00000000-0005-0000-0000-000050210000}"/>
    <cellStyle name="Note 3 2 2 2 10" xfId="9144" xr:uid="{0499FAE0-D42A-4906-85EB-740DBDABA22E}"/>
    <cellStyle name="Note 3 2 2 2 2" xfId="1016" xr:uid="{00000000-0005-0000-0000-000051210000}"/>
    <cellStyle name="Note 3 2 2 2 2 2" xfId="3248" xr:uid="{00000000-0005-0000-0000-000052210000}"/>
    <cellStyle name="Note 3 2 2 2 2 2 2" xfId="7470" xr:uid="{00000000-0005-0000-0000-000053210000}"/>
    <cellStyle name="Note 3 2 2 2 2 2 2 2" xfId="15920" xr:uid="{B628D232-1F2D-4A5A-BEA6-3B9288641706}"/>
    <cellStyle name="Note 3 2 2 2 2 2 3" xfId="11702" xr:uid="{AA9B1D8E-FA97-427B-8DA2-C8A04DFBDAF7}"/>
    <cellStyle name="Note 3 2 2 2 2 3" xfId="5325" xr:uid="{00000000-0005-0000-0000-000054210000}"/>
    <cellStyle name="Note 3 2 2 2 2 3 2" xfId="13775" xr:uid="{E1B1EEAB-DB57-47F6-A50A-F7F705228C1E}"/>
    <cellStyle name="Note 3 2 2 2 2 4" xfId="9557" xr:uid="{9F975795-8ED3-4F32-9507-EAAEC031716D}"/>
    <cellStyle name="Note 3 2 2 2 3" xfId="1431" xr:uid="{00000000-0005-0000-0000-000055210000}"/>
    <cellStyle name="Note 3 2 2 2 3 2" xfId="3661" xr:uid="{00000000-0005-0000-0000-000056210000}"/>
    <cellStyle name="Note 3 2 2 2 3 2 2" xfId="7883" xr:uid="{00000000-0005-0000-0000-000057210000}"/>
    <cellStyle name="Note 3 2 2 2 3 2 2 2" xfId="16333" xr:uid="{0B6F5D27-BA4A-4F29-9353-4A2D8F8C8E54}"/>
    <cellStyle name="Note 3 2 2 2 3 2 3" xfId="12115" xr:uid="{EA658D50-34B1-4591-8600-6EAA6948AC0A}"/>
    <cellStyle name="Note 3 2 2 2 3 3" xfId="5738" xr:uid="{00000000-0005-0000-0000-000058210000}"/>
    <cellStyle name="Note 3 2 2 2 3 3 2" xfId="14188" xr:uid="{0BAD9155-18D2-424B-86D8-342AFC76BE92}"/>
    <cellStyle name="Note 3 2 2 2 3 4" xfId="9970" xr:uid="{49EA1D37-5E9A-4B0D-B288-CE30ED57E3F1}"/>
    <cellStyle name="Note 3 2 2 2 4" xfId="1845" xr:uid="{00000000-0005-0000-0000-000059210000}"/>
    <cellStyle name="Note 3 2 2 2 4 2" xfId="4074" xr:uid="{00000000-0005-0000-0000-00005A210000}"/>
    <cellStyle name="Note 3 2 2 2 4 2 2" xfId="8296" xr:uid="{00000000-0005-0000-0000-00005B210000}"/>
    <cellStyle name="Note 3 2 2 2 4 2 2 2" xfId="16746" xr:uid="{BD251578-47A5-4E72-9FBF-AE03E15BD90A}"/>
    <cellStyle name="Note 3 2 2 2 4 2 3" xfId="12528" xr:uid="{A8D4DAC6-23C1-4116-BE9B-FCD67A1E7334}"/>
    <cellStyle name="Note 3 2 2 2 4 3" xfId="6151" xr:uid="{00000000-0005-0000-0000-00005C210000}"/>
    <cellStyle name="Note 3 2 2 2 4 3 2" xfId="14601" xr:uid="{FF30ED2D-6AD9-4CEE-92A9-420A6D99F753}"/>
    <cellStyle name="Note 3 2 2 2 4 4" xfId="10383" xr:uid="{AB159E2C-39B9-4D5D-96CB-020C8811D383}"/>
    <cellStyle name="Note 3 2 2 2 5" xfId="2258" xr:uid="{00000000-0005-0000-0000-00005D210000}"/>
    <cellStyle name="Note 3 2 2 2 5 2" xfId="4487" xr:uid="{00000000-0005-0000-0000-00005E210000}"/>
    <cellStyle name="Note 3 2 2 2 5 2 2" xfId="8709" xr:uid="{00000000-0005-0000-0000-00005F210000}"/>
    <cellStyle name="Note 3 2 2 2 5 2 2 2" xfId="17159" xr:uid="{EB8EBDBE-391D-49EE-B410-A78B67E9B6FD}"/>
    <cellStyle name="Note 3 2 2 2 5 2 3" xfId="12941" xr:uid="{28553BC1-446C-4586-B7D6-6D8705581949}"/>
    <cellStyle name="Note 3 2 2 2 5 3" xfId="6564" xr:uid="{00000000-0005-0000-0000-000060210000}"/>
    <cellStyle name="Note 3 2 2 2 5 3 2" xfId="15014" xr:uid="{FBDF6F7B-7522-4F7C-AED3-347C5D956DED}"/>
    <cellStyle name="Note 3 2 2 2 5 4" xfId="10796" xr:uid="{0DFA4956-CFDD-4653-B0D3-7011B3B40DED}"/>
    <cellStyle name="Note 3 2 2 2 6" xfId="2694" xr:uid="{00000000-0005-0000-0000-000061210000}"/>
    <cellStyle name="Note 3 2 2 2 6 2" xfId="6977" xr:uid="{00000000-0005-0000-0000-000062210000}"/>
    <cellStyle name="Note 3 2 2 2 6 2 2" xfId="15427" xr:uid="{C3D2E3D0-C8D1-4BE3-8C3C-1EB41741AB84}"/>
    <cellStyle name="Note 3 2 2 2 6 3" xfId="11209" xr:uid="{BC8BF81B-2599-46DF-AB93-AFB7A31697A8}"/>
    <cellStyle name="Note 3 2 2 2 7" xfId="2753" xr:uid="{00000000-0005-0000-0000-000063210000}"/>
    <cellStyle name="Note 3 2 2 2 8" xfId="2834" xr:uid="{00000000-0005-0000-0000-000064210000}"/>
    <cellStyle name="Note 3 2 2 2 8 2" xfId="7057" xr:uid="{00000000-0005-0000-0000-000065210000}"/>
    <cellStyle name="Note 3 2 2 2 8 2 2" xfId="15507" xr:uid="{45A868C3-333D-4E00-8123-2F59F2510847}"/>
    <cellStyle name="Note 3 2 2 2 8 3" xfId="11289" xr:uid="{BC52FCBA-68C3-463F-AEB3-A65C09B4045A}"/>
    <cellStyle name="Note 3 2 2 2 9" xfId="4912" xr:uid="{00000000-0005-0000-0000-000066210000}"/>
    <cellStyle name="Note 3 2 2 2 9 2" xfId="13362" xr:uid="{3C55CAA5-7BCB-4584-AEFC-1CD0F9934624}"/>
    <cellStyle name="Note 3 2 2 3" xfId="1015" xr:uid="{00000000-0005-0000-0000-000067210000}"/>
    <cellStyle name="Note 3 2 2 3 2" xfId="3247" xr:uid="{00000000-0005-0000-0000-000068210000}"/>
    <cellStyle name="Note 3 2 2 3 2 2" xfId="7469" xr:uid="{00000000-0005-0000-0000-000069210000}"/>
    <cellStyle name="Note 3 2 2 3 2 2 2" xfId="15919" xr:uid="{493A8332-EB58-4D67-A7E9-A87E26CDE3FE}"/>
    <cellStyle name="Note 3 2 2 3 2 3" xfId="11701" xr:uid="{BFA454DE-F451-4664-81C1-7D39D12FA310}"/>
    <cellStyle name="Note 3 2 2 3 3" xfId="5324" xr:uid="{00000000-0005-0000-0000-00006A210000}"/>
    <cellStyle name="Note 3 2 2 3 3 2" xfId="13774" xr:uid="{F0AB5D30-E050-4973-9083-9D7ACEC73DE1}"/>
    <cellStyle name="Note 3 2 2 3 4" xfId="9556" xr:uid="{630A9E2B-D63C-48FB-90EF-BE55E31FDA50}"/>
    <cellStyle name="Note 3 2 2 4" xfId="1430" xr:uid="{00000000-0005-0000-0000-00006B210000}"/>
    <cellStyle name="Note 3 2 2 4 2" xfId="3660" xr:uid="{00000000-0005-0000-0000-00006C210000}"/>
    <cellStyle name="Note 3 2 2 4 2 2" xfId="7882" xr:uid="{00000000-0005-0000-0000-00006D210000}"/>
    <cellStyle name="Note 3 2 2 4 2 2 2" xfId="16332" xr:uid="{19C9C11F-BBA5-4E28-B794-AEF9D50BA065}"/>
    <cellStyle name="Note 3 2 2 4 2 3" xfId="12114" xr:uid="{AF9513D9-689E-46F2-B95D-B4938F419A01}"/>
    <cellStyle name="Note 3 2 2 4 3" xfId="5737" xr:uid="{00000000-0005-0000-0000-00006E210000}"/>
    <cellStyle name="Note 3 2 2 4 3 2" xfId="14187" xr:uid="{A849DE2D-A6F2-4493-9827-85EB057C9223}"/>
    <cellStyle name="Note 3 2 2 4 4" xfId="9969" xr:uid="{E9E4F9B9-7D09-4172-9EB2-2FCB2AD07D41}"/>
    <cellStyle name="Note 3 2 2 5" xfId="1844" xr:uid="{00000000-0005-0000-0000-00006F210000}"/>
    <cellStyle name="Note 3 2 2 5 2" xfId="4073" xr:uid="{00000000-0005-0000-0000-000070210000}"/>
    <cellStyle name="Note 3 2 2 5 2 2" xfId="8295" xr:uid="{00000000-0005-0000-0000-000071210000}"/>
    <cellStyle name="Note 3 2 2 5 2 2 2" xfId="16745" xr:uid="{F046E889-C2DF-4263-AFBE-F71D4764C1FA}"/>
    <cellStyle name="Note 3 2 2 5 2 3" xfId="12527" xr:uid="{10C2DAE1-EF14-4941-8571-4453BFE88B75}"/>
    <cellStyle name="Note 3 2 2 5 3" xfId="6150" xr:uid="{00000000-0005-0000-0000-000072210000}"/>
    <cellStyle name="Note 3 2 2 5 3 2" xfId="14600" xr:uid="{AC738A8A-E985-4439-A90B-790ABB768326}"/>
    <cellStyle name="Note 3 2 2 5 4" xfId="10382" xr:uid="{57F1917A-D549-4FB1-BD20-61C359329A90}"/>
    <cellStyle name="Note 3 2 2 6" xfId="2257" xr:uid="{00000000-0005-0000-0000-000073210000}"/>
    <cellStyle name="Note 3 2 2 6 2" xfId="4486" xr:uid="{00000000-0005-0000-0000-000074210000}"/>
    <cellStyle name="Note 3 2 2 6 2 2" xfId="8708" xr:uid="{00000000-0005-0000-0000-000075210000}"/>
    <cellStyle name="Note 3 2 2 6 2 2 2" xfId="17158" xr:uid="{0EA462D1-0349-41B5-90EE-BE72872A8E7D}"/>
    <cellStyle name="Note 3 2 2 6 2 3" xfId="12940" xr:uid="{0B815918-9C65-42DA-BC03-D8098EC587BE}"/>
    <cellStyle name="Note 3 2 2 6 3" xfId="6563" xr:uid="{00000000-0005-0000-0000-000076210000}"/>
    <cellStyle name="Note 3 2 2 6 3 2" xfId="15013" xr:uid="{71CA13E4-D208-4417-A087-DB758CDF4444}"/>
    <cellStyle name="Note 3 2 2 6 4" xfId="10795" xr:uid="{7E3C858F-1CF6-43BC-92F9-2ED7C1C5D6F9}"/>
    <cellStyle name="Note 3 2 2 7" xfId="2693" xr:uid="{00000000-0005-0000-0000-000077210000}"/>
    <cellStyle name="Note 3 2 2 7 2" xfId="6976" xr:uid="{00000000-0005-0000-0000-000078210000}"/>
    <cellStyle name="Note 3 2 2 7 2 2" xfId="15426" xr:uid="{D26650B4-4EC7-406B-9155-999AC4481E6D}"/>
    <cellStyle name="Note 3 2 2 7 3" xfId="11208" xr:uid="{C936A64A-7343-4C97-8BE7-54677770F5F3}"/>
    <cellStyle name="Note 3 2 2 8" xfId="2752" xr:uid="{00000000-0005-0000-0000-000079210000}"/>
    <cellStyle name="Note 3 2 2 9" xfId="2833" xr:uid="{00000000-0005-0000-0000-00007A210000}"/>
    <cellStyle name="Note 3 2 2 9 2" xfId="7056" xr:uid="{00000000-0005-0000-0000-00007B210000}"/>
    <cellStyle name="Note 3 2 2 9 2 2" xfId="15506" xr:uid="{79C90623-3175-4E38-A4C6-8D0382784B56}"/>
    <cellStyle name="Note 3 2 2 9 3" xfId="11288" xr:uid="{5F3AD82A-45DE-43E9-9CA6-0A83F037658F}"/>
    <cellStyle name="Note 3 2 3" xfId="557" xr:uid="{00000000-0005-0000-0000-00007C210000}"/>
    <cellStyle name="Note 3 2 3 10" xfId="9145" xr:uid="{2A26CC2C-C7D9-41C7-8D2A-8FDE22DFD7FB}"/>
    <cellStyle name="Note 3 2 3 2" xfId="1017" xr:uid="{00000000-0005-0000-0000-00007D210000}"/>
    <cellStyle name="Note 3 2 3 2 2" xfId="3249" xr:uid="{00000000-0005-0000-0000-00007E210000}"/>
    <cellStyle name="Note 3 2 3 2 2 2" xfId="7471" xr:uid="{00000000-0005-0000-0000-00007F210000}"/>
    <cellStyle name="Note 3 2 3 2 2 2 2" xfId="15921" xr:uid="{1660A4EC-A11B-4C25-8115-E5F640D8DE71}"/>
    <cellStyle name="Note 3 2 3 2 2 3" xfId="11703" xr:uid="{C691DF71-2A7D-4BDB-9966-DC00762CF128}"/>
    <cellStyle name="Note 3 2 3 2 3" xfId="5326" xr:uid="{00000000-0005-0000-0000-000080210000}"/>
    <cellStyle name="Note 3 2 3 2 3 2" xfId="13776" xr:uid="{AAF7EDB5-AD90-4FC7-BD94-7EB7E84FEBCC}"/>
    <cellStyle name="Note 3 2 3 2 4" xfId="9558" xr:uid="{955B2EA5-E24B-4ED7-B021-527387356D45}"/>
    <cellStyle name="Note 3 2 3 3" xfId="1432" xr:uid="{00000000-0005-0000-0000-000081210000}"/>
    <cellStyle name="Note 3 2 3 3 2" xfId="3662" xr:uid="{00000000-0005-0000-0000-000082210000}"/>
    <cellStyle name="Note 3 2 3 3 2 2" xfId="7884" xr:uid="{00000000-0005-0000-0000-000083210000}"/>
    <cellStyle name="Note 3 2 3 3 2 2 2" xfId="16334" xr:uid="{8C990E69-F797-4C78-8056-EC95C92FEF60}"/>
    <cellStyle name="Note 3 2 3 3 2 3" xfId="12116" xr:uid="{3B716A82-004D-4584-BD57-D94A9FB317C3}"/>
    <cellStyle name="Note 3 2 3 3 3" xfId="5739" xr:uid="{00000000-0005-0000-0000-000084210000}"/>
    <cellStyle name="Note 3 2 3 3 3 2" xfId="14189" xr:uid="{794A78E1-38BE-4C45-95BF-C3482D8DA83E}"/>
    <cellStyle name="Note 3 2 3 3 4" xfId="9971" xr:uid="{3BD7F0E7-E10B-4323-A07B-56E772D678DB}"/>
    <cellStyle name="Note 3 2 3 4" xfId="1846" xr:uid="{00000000-0005-0000-0000-000085210000}"/>
    <cellStyle name="Note 3 2 3 4 2" xfId="4075" xr:uid="{00000000-0005-0000-0000-000086210000}"/>
    <cellStyle name="Note 3 2 3 4 2 2" xfId="8297" xr:uid="{00000000-0005-0000-0000-000087210000}"/>
    <cellStyle name="Note 3 2 3 4 2 2 2" xfId="16747" xr:uid="{E140D6AB-88D5-4B4C-986E-3DA048A82CAC}"/>
    <cellStyle name="Note 3 2 3 4 2 3" xfId="12529" xr:uid="{87448B2F-DFBD-4758-9909-59742C268C06}"/>
    <cellStyle name="Note 3 2 3 4 3" xfId="6152" xr:uid="{00000000-0005-0000-0000-000088210000}"/>
    <cellStyle name="Note 3 2 3 4 3 2" xfId="14602" xr:uid="{3DC869BE-6629-4178-8FD7-9F4A8CFF513D}"/>
    <cellStyle name="Note 3 2 3 4 4" xfId="10384" xr:uid="{CAB9F9D3-30F6-4A3F-A608-13569F56B383}"/>
    <cellStyle name="Note 3 2 3 5" xfId="2259" xr:uid="{00000000-0005-0000-0000-000089210000}"/>
    <cellStyle name="Note 3 2 3 5 2" xfId="4488" xr:uid="{00000000-0005-0000-0000-00008A210000}"/>
    <cellStyle name="Note 3 2 3 5 2 2" xfId="8710" xr:uid="{00000000-0005-0000-0000-00008B210000}"/>
    <cellStyle name="Note 3 2 3 5 2 2 2" xfId="17160" xr:uid="{117B81F0-F5E6-4850-B1F3-F145AA44502D}"/>
    <cellStyle name="Note 3 2 3 5 2 3" xfId="12942" xr:uid="{06C95400-F48A-4DC0-A9E5-8185E8422A2D}"/>
    <cellStyle name="Note 3 2 3 5 3" xfId="6565" xr:uid="{00000000-0005-0000-0000-00008C210000}"/>
    <cellStyle name="Note 3 2 3 5 3 2" xfId="15015" xr:uid="{FB0B418A-FA73-4A20-80CB-078330AB540B}"/>
    <cellStyle name="Note 3 2 3 5 4" xfId="10797" xr:uid="{2809DF05-CDA7-4006-9955-FAD4588E339E}"/>
    <cellStyle name="Note 3 2 3 6" xfId="2695" xr:uid="{00000000-0005-0000-0000-00008D210000}"/>
    <cellStyle name="Note 3 2 3 6 2" xfId="6978" xr:uid="{00000000-0005-0000-0000-00008E210000}"/>
    <cellStyle name="Note 3 2 3 6 2 2" xfId="15428" xr:uid="{38DB23D4-8316-49E5-B925-EEAAEFB0C05C}"/>
    <cellStyle name="Note 3 2 3 6 3" xfId="11210" xr:uid="{A62D555C-C565-4A15-827B-4FE0289FCFCD}"/>
    <cellStyle name="Note 3 2 3 7" xfId="2754" xr:uid="{00000000-0005-0000-0000-00008F210000}"/>
    <cellStyle name="Note 3 2 3 8" xfId="2835" xr:uid="{00000000-0005-0000-0000-000090210000}"/>
    <cellStyle name="Note 3 2 3 8 2" xfId="7058" xr:uid="{00000000-0005-0000-0000-000091210000}"/>
    <cellStyle name="Note 3 2 3 8 2 2" xfId="15508" xr:uid="{125CD29A-CE9B-4B58-B109-31B5BC639A1F}"/>
    <cellStyle name="Note 3 2 3 8 3" xfId="11290" xr:uid="{F34D729B-21B1-4E59-A3F0-C605346E959D}"/>
    <cellStyle name="Note 3 2 3 9" xfId="4913" xr:uid="{00000000-0005-0000-0000-000092210000}"/>
    <cellStyle name="Note 3 2 3 9 2" xfId="13363" xr:uid="{60E42612-017D-446B-94A1-6E2F439D3FEE}"/>
    <cellStyle name="Note 3 2 4" xfId="1014" xr:uid="{00000000-0005-0000-0000-000093210000}"/>
    <cellStyle name="Note 3 2 4 2" xfId="3246" xr:uid="{00000000-0005-0000-0000-000094210000}"/>
    <cellStyle name="Note 3 2 4 2 2" xfId="7468" xr:uid="{00000000-0005-0000-0000-000095210000}"/>
    <cellStyle name="Note 3 2 4 2 2 2" xfId="15918" xr:uid="{2D67C113-D47A-4A11-8B4E-7674B4C686C4}"/>
    <cellStyle name="Note 3 2 4 2 3" xfId="11700" xr:uid="{4C702EBC-A7C5-4C5F-AAC9-9A220B7F5D44}"/>
    <cellStyle name="Note 3 2 4 3" xfId="5323" xr:uid="{00000000-0005-0000-0000-000096210000}"/>
    <cellStyle name="Note 3 2 4 3 2" xfId="13773" xr:uid="{80236961-C696-48CE-816B-AD046CFDF4AA}"/>
    <cellStyle name="Note 3 2 4 4" xfId="9555" xr:uid="{4F924FC2-CA8C-48FA-8C82-98936DC6CFB4}"/>
    <cellStyle name="Note 3 2 5" xfId="1429" xr:uid="{00000000-0005-0000-0000-000097210000}"/>
    <cellStyle name="Note 3 2 5 2" xfId="3659" xr:uid="{00000000-0005-0000-0000-000098210000}"/>
    <cellStyle name="Note 3 2 5 2 2" xfId="7881" xr:uid="{00000000-0005-0000-0000-000099210000}"/>
    <cellStyle name="Note 3 2 5 2 2 2" xfId="16331" xr:uid="{18249AB9-6384-45CC-B6F2-6CFDAD186DC3}"/>
    <cellStyle name="Note 3 2 5 2 3" xfId="12113" xr:uid="{73675C72-0964-40EF-8CC2-C8D8A146C7F8}"/>
    <cellStyle name="Note 3 2 5 3" xfId="5736" xr:uid="{00000000-0005-0000-0000-00009A210000}"/>
    <cellStyle name="Note 3 2 5 3 2" xfId="14186" xr:uid="{FE7D3D60-8EA8-4CD8-ADE8-D479AC6B428E}"/>
    <cellStyle name="Note 3 2 5 4" xfId="9968" xr:uid="{CA1EEA39-89E0-4AA1-982F-5B8DD247B356}"/>
    <cellStyle name="Note 3 2 6" xfId="1843" xr:uid="{00000000-0005-0000-0000-00009B210000}"/>
    <cellStyle name="Note 3 2 6 2" xfId="4072" xr:uid="{00000000-0005-0000-0000-00009C210000}"/>
    <cellStyle name="Note 3 2 6 2 2" xfId="8294" xr:uid="{00000000-0005-0000-0000-00009D210000}"/>
    <cellStyle name="Note 3 2 6 2 2 2" xfId="16744" xr:uid="{2E754A06-C644-410F-A7CB-535FB3E3F20B}"/>
    <cellStyle name="Note 3 2 6 2 3" xfId="12526" xr:uid="{54781946-02F9-4312-8638-442C811DE8C1}"/>
    <cellStyle name="Note 3 2 6 3" xfId="6149" xr:uid="{00000000-0005-0000-0000-00009E210000}"/>
    <cellStyle name="Note 3 2 6 3 2" xfId="14599" xr:uid="{C777BFBD-C04E-48C8-88F4-0A17672F00BA}"/>
    <cellStyle name="Note 3 2 6 4" xfId="10381" xr:uid="{B242C07A-692B-4A0B-AD5C-D256BA29391F}"/>
    <cellStyle name="Note 3 2 7" xfId="2256" xr:uid="{00000000-0005-0000-0000-00009F210000}"/>
    <cellStyle name="Note 3 2 7 2" xfId="4485" xr:uid="{00000000-0005-0000-0000-0000A0210000}"/>
    <cellStyle name="Note 3 2 7 2 2" xfId="8707" xr:uid="{00000000-0005-0000-0000-0000A1210000}"/>
    <cellStyle name="Note 3 2 7 2 2 2" xfId="17157" xr:uid="{B78053E8-98A8-400B-B2E3-DC897A884431}"/>
    <cellStyle name="Note 3 2 7 2 3" xfId="12939" xr:uid="{95B8DADC-0CC1-4709-AA04-B1CBC832C0B5}"/>
    <cellStyle name="Note 3 2 7 3" xfId="6562" xr:uid="{00000000-0005-0000-0000-0000A2210000}"/>
    <cellStyle name="Note 3 2 7 3 2" xfId="15012" xr:uid="{F95B1E94-7165-48F8-97C7-2F2092E869BF}"/>
    <cellStyle name="Note 3 2 7 4" xfId="10794" xr:uid="{EA17C3DE-251A-4A62-82A7-6E16904E20A1}"/>
    <cellStyle name="Note 3 2 8" xfId="2692" xr:uid="{00000000-0005-0000-0000-0000A3210000}"/>
    <cellStyle name="Note 3 2 8 2" xfId="6975" xr:uid="{00000000-0005-0000-0000-0000A4210000}"/>
    <cellStyle name="Note 3 2 8 2 2" xfId="15425" xr:uid="{95CDAA5F-598B-460D-893D-E1B0966E78DD}"/>
    <cellStyle name="Note 3 2 8 3" xfId="11207" xr:uid="{E6A3EEB0-3EB5-4653-9EA4-B447AC7F2030}"/>
    <cellStyle name="Note 3 2 9" xfId="2751" xr:uid="{00000000-0005-0000-0000-0000A5210000}"/>
    <cellStyle name="Note 3 3" xfId="558" xr:uid="{00000000-0005-0000-0000-0000A6210000}"/>
    <cellStyle name="Note 3 3 10" xfId="4914" xr:uid="{00000000-0005-0000-0000-0000A7210000}"/>
    <cellStyle name="Note 3 3 10 2" xfId="13364" xr:uid="{8512D8C6-B41F-4B5A-8577-F61642B2EF92}"/>
    <cellStyle name="Note 3 3 11" xfId="9146" xr:uid="{E1BC2E80-DBF8-42B1-AC90-EEF80F6FD0CD}"/>
    <cellStyle name="Note 3 3 2" xfId="559" xr:uid="{00000000-0005-0000-0000-0000A8210000}"/>
    <cellStyle name="Note 3 3 2 10" xfId="9147" xr:uid="{DDF5B042-7309-42C5-9CE5-AF5500953069}"/>
    <cellStyle name="Note 3 3 2 2" xfId="1019" xr:uid="{00000000-0005-0000-0000-0000A9210000}"/>
    <cellStyle name="Note 3 3 2 2 2" xfId="3251" xr:uid="{00000000-0005-0000-0000-0000AA210000}"/>
    <cellStyle name="Note 3 3 2 2 2 2" xfId="7473" xr:uid="{00000000-0005-0000-0000-0000AB210000}"/>
    <cellStyle name="Note 3 3 2 2 2 2 2" xfId="15923" xr:uid="{DCAFAE80-D716-42FC-BEDD-FD983A0F353A}"/>
    <cellStyle name="Note 3 3 2 2 2 3" xfId="11705" xr:uid="{FBA62794-E7A6-46A9-9B25-244AD924366C}"/>
    <cellStyle name="Note 3 3 2 2 3" xfId="5328" xr:uid="{00000000-0005-0000-0000-0000AC210000}"/>
    <cellStyle name="Note 3 3 2 2 3 2" xfId="13778" xr:uid="{26F74B6C-CC9F-49F8-B151-4C0AE4E8CE7F}"/>
    <cellStyle name="Note 3 3 2 2 4" xfId="9560" xr:uid="{67BC494F-E89C-4C9E-8DAB-ED9B1AC461E2}"/>
    <cellStyle name="Note 3 3 2 3" xfId="1434" xr:uid="{00000000-0005-0000-0000-0000AD210000}"/>
    <cellStyle name="Note 3 3 2 3 2" xfId="3664" xr:uid="{00000000-0005-0000-0000-0000AE210000}"/>
    <cellStyle name="Note 3 3 2 3 2 2" xfId="7886" xr:uid="{00000000-0005-0000-0000-0000AF210000}"/>
    <cellStyle name="Note 3 3 2 3 2 2 2" xfId="16336" xr:uid="{D0ACFE21-3F1E-4A49-A85D-3434D9366337}"/>
    <cellStyle name="Note 3 3 2 3 2 3" xfId="12118" xr:uid="{4AC54D2B-2AA5-45C8-A1DB-E3E77916DFDF}"/>
    <cellStyle name="Note 3 3 2 3 3" xfId="5741" xr:uid="{00000000-0005-0000-0000-0000B0210000}"/>
    <cellStyle name="Note 3 3 2 3 3 2" xfId="14191" xr:uid="{5251E474-E2BA-47D1-A3A9-8E153786802D}"/>
    <cellStyle name="Note 3 3 2 3 4" xfId="9973" xr:uid="{485158EF-9F48-4C8D-9F2A-FD93E25124F6}"/>
    <cellStyle name="Note 3 3 2 4" xfId="1848" xr:uid="{00000000-0005-0000-0000-0000B1210000}"/>
    <cellStyle name="Note 3 3 2 4 2" xfId="4077" xr:uid="{00000000-0005-0000-0000-0000B2210000}"/>
    <cellStyle name="Note 3 3 2 4 2 2" xfId="8299" xr:uid="{00000000-0005-0000-0000-0000B3210000}"/>
    <cellStyle name="Note 3 3 2 4 2 2 2" xfId="16749" xr:uid="{70CA4D62-B063-481B-86BC-775665F4A2C4}"/>
    <cellStyle name="Note 3 3 2 4 2 3" xfId="12531" xr:uid="{96DB06C5-3DF9-44AF-9027-40D36ACB3A4E}"/>
    <cellStyle name="Note 3 3 2 4 3" xfId="6154" xr:uid="{00000000-0005-0000-0000-0000B4210000}"/>
    <cellStyle name="Note 3 3 2 4 3 2" xfId="14604" xr:uid="{C5CB6A1B-1892-46CA-A2FD-C68496A90445}"/>
    <cellStyle name="Note 3 3 2 4 4" xfId="10386" xr:uid="{994C6A5E-77D2-4B2B-AEC0-2844ABBB46ED}"/>
    <cellStyle name="Note 3 3 2 5" xfId="2261" xr:uid="{00000000-0005-0000-0000-0000B5210000}"/>
    <cellStyle name="Note 3 3 2 5 2" xfId="4490" xr:uid="{00000000-0005-0000-0000-0000B6210000}"/>
    <cellStyle name="Note 3 3 2 5 2 2" xfId="8712" xr:uid="{00000000-0005-0000-0000-0000B7210000}"/>
    <cellStyle name="Note 3 3 2 5 2 2 2" xfId="17162" xr:uid="{CB5094EB-40E0-4793-BEF7-AED6171A6F99}"/>
    <cellStyle name="Note 3 3 2 5 2 3" xfId="12944" xr:uid="{17A57FB7-0927-4976-BE14-E482158B903F}"/>
    <cellStyle name="Note 3 3 2 5 3" xfId="6567" xr:uid="{00000000-0005-0000-0000-0000B8210000}"/>
    <cellStyle name="Note 3 3 2 5 3 2" xfId="15017" xr:uid="{003634FB-8124-46A7-BA36-D358A744C777}"/>
    <cellStyle name="Note 3 3 2 5 4" xfId="10799" xr:uid="{38E58312-187B-47DB-8D3D-D55BFF71C38A}"/>
    <cellStyle name="Note 3 3 2 6" xfId="2697" xr:uid="{00000000-0005-0000-0000-0000B9210000}"/>
    <cellStyle name="Note 3 3 2 6 2" xfId="6980" xr:uid="{00000000-0005-0000-0000-0000BA210000}"/>
    <cellStyle name="Note 3 3 2 6 2 2" xfId="15430" xr:uid="{2B127171-76C8-4E23-868A-6D8B143D3925}"/>
    <cellStyle name="Note 3 3 2 6 3" xfId="11212" xr:uid="{5B3FAC44-57A1-47F4-8AE6-0814EF681B63}"/>
    <cellStyle name="Note 3 3 2 7" xfId="2756" xr:uid="{00000000-0005-0000-0000-0000BB210000}"/>
    <cellStyle name="Note 3 3 2 8" xfId="2837" xr:uid="{00000000-0005-0000-0000-0000BC210000}"/>
    <cellStyle name="Note 3 3 2 8 2" xfId="7060" xr:uid="{00000000-0005-0000-0000-0000BD210000}"/>
    <cellStyle name="Note 3 3 2 8 2 2" xfId="15510" xr:uid="{BB180F7E-F38F-4FBB-B02D-BE594D122DCD}"/>
    <cellStyle name="Note 3 3 2 8 3" xfId="11292" xr:uid="{1EBC82C6-3A68-4D68-B7E3-09C0D06BD3F9}"/>
    <cellStyle name="Note 3 3 2 9" xfId="4915" xr:uid="{00000000-0005-0000-0000-0000BE210000}"/>
    <cellStyle name="Note 3 3 2 9 2" xfId="13365" xr:uid="{C23D4938-EDE5-4BFD-9C36-4A1A4F9CF910}"/>
    <cellStyle name="Note 3 3 3" xfId="1018" xr:uid="{00000000-0005-0000-0000-0000BF210000}"/>
    <cellStyle name="Note 3 3 3 2" xfId="3250" xr:uid="{00000000-0005-0000-0000-0000C0210000}"/>
    <cellStyle name="Note 3 3 3 2 2" xfId="7472" xr:uid="{00000000-0005-0000-0000-0000C1210000}"/>
    <cellStyle name="Note 3 3 3 2 2 2" xfId="15922" xr:uid="{F5EC7E20-B29D-405F-AC2D-AD54581AE657}"/>
    <cellStyle name="Note 3 3 3 2 3" xfId="11704" xr:uid="{A3A9A5A3-644F-4B7F-B863-ECF5A59AAC21}"/>
    <cellStyle name="Note 3 3 3 3" xfId="5327" xr:uid="{00000000-0005-0000-0000-0000C2210000}"/>
    <cellStyle name="Note 3 3 3 3 2" xfId="13777" xr:uid="{D48A317D-182D-4E2D-88A8-AE48C18D2B9C}"/>
    <cellStyle name="Note 3 3 3 4" xfId="9559" xr:uid="{DE88504D-0E9B-4F5A-9862-B0AB65D11DB5}"/>
    <cellStyle name="Note 3 3 4" xfId="1433" xr:uid="{00000000-0005-0000-0000-0000C3210000}"/>
    <cellStyle name="Note 3 3 4 2" xfId="3663" xr:uid="{00000000-0005-0000-0000-0000C4210000}"/>
    <cellStyle name="Note 3 3 4 2 2" xfId="7885" xr:uid="{00000000-0005-0000-0000-0000C5210000}"/>
    <cellStyle name="Note 3 3 4 2 2 2" xfId="16335" xr:uid="{A2EC93A1-930F-4919-A283-15FBD7C81C34}"/>
    <cellStyle name="Note 3 3 4 2 3" xfId="12117" xr:uid="{0B55DFD3-429A-4E17-B7C3-5FF145E03F6D}"/>
    <cellStyle name="Note 3 3 4 3" xfId="5740" xr:uid="{00000000-0005-0000-0000-0000C6210000}"/>
    <cellStyle name="Note 3 3 4 3 2" xfId="14190" xr:uid="{B30E1F77-6420-4B5E-BBC8-DDF0D7A7A14C}"/>
    <cellStyle name="Note 3 3 4 4" xfId="9972" xr:uid="{8122C404-A0F8-42AF-8715-5ECA1690C282}"/>
    <cellStyle name="Note 3 3 5" xfId="1847" xr:uid="{00000000-0005-0000-0000-0000C7210000}"/>
    <cellStyle name="Note 3 3 5 2" xfId="4076" xr:uid="{00000000-0005-0000-0000-0000C8210000}"/>
    <cellStyle name="Note 3 3 5 2 2" xfId="8298" xr:uid="{00000000-0005-0000-0000-0000C9210000}"/>
    <cellStyle name="Note 3 3 5 2 2 2" xfId="16748" xr:uid="{83C77A7A-4465-4308-BC95-D68854B6D0A3}"/>
    <cellStyle name="Note 3 3 5 2 3" xfId="12530" xr:uid="{C383C6E9-2656-471E-9E0E-0431DB28FBD2}"/>
    <cellStyle name="Note 3 3 5 3" xfId="6153" xr:uid="{00000000-0005-0000-0000-0000CA210000}"/>
    <cellStyle name="Note 3 3 5 3 2" xfId="14603" xr:uid="{E1ACE522-2A82-48CE-9760-D0A425EBADB8}"/>
    <cellStyle name="Note 3 3 5 4" xfId="10385" xr:uid="{BD0E3341-8AE0-4701-9C1F-8EC388401B97}"/>
    <cellStyle name="Note 3 3 6" xfId="2260" xr:uid="{00000000-0005-0000-0000-0000CB210000}"/>
    <cellStyle name="Note 3 3 6 2" xfId="4489" xr:uid="{00000000-0005-0000-0000-0000CC210000}"/>
    <cellStyle name="Note 3 3 6 2 2" xfId="8711" xr:uid="{00000000-0005-0000-0000-0000CD210000}"/>
    <cellStyle name="Note 3 3 6 2 2 2" xfId="17161" xr:uid="{E7FCBC01-4126-4D51-A9E1-107CD181B6C0}"/>
    <cellStyle name="Note 3 3 6 2 3" xfId="12943" xr:uid="{E180342B-82C2-4A8C-8A78-8D841AF878CE}"/>
    <cellStyle name="Note 3 3 6 3" xfId="6566" xr:uid="{00000000-0005-0000-0000-0000CE210000}"/>
    <cellStyle name="Note 3 3 6 3 2" xfId="15016" xr:uid="{7C44546B-21C0-45BA-8824-212DBDE45C02}"/>
    <cellStyle name="Note 3 3 6 4" xfId="10798" xr:uid="{5BB65CDC-F283-42B1-9AE6-26CF3822534A}"/>
    <cellStyle name="Note 3 3 7" xfId="2696" xr:uid="{00000000-0005-0000-0000-0000CF210000}"/>
    <cellStyle name="Note 3 3 7 2" xfId="6979" xr:uid="{00000000-0005-0000-0000-0000D0210000}"/>
    <cellStyle name="Note 3 3 7 2 2" xfId="15429" xr:uid="{A612AACC-8C22-47BD-9E61-8A054BC4A60B}"/>
    <cellStyle name="Note 3 3 7 3" xfId="11211" xr:uid="{33158A52-FE87-4E7B-9F3A-673B1B1E9E54}"/>
    <cellStyle name="Note 3 3 8" xfId="2755" xr:uid="{00000000-0005-0000-0000-0000D1210000}"/>
    <cellStyle name="Note 3 3 9" xfId="2836" xr:uid="{00000000-0005-0000-0000-0000D2210000}"/>
    <cellStyle name="Note 3 3 9 2" xfId="7059" xr:uid="{00000000-0005-0000-0000-0000D3210000}"/>
    <cellStyle name="Note 3 3 9 2 2" xfId="15509" xr:uid="{93C8FECC-CD2A-46EA-BB2E-DD7A4987E2B9}"/>
    <cellStyle name="Note 3 3 9 3" xfId="11291" xr:uid="{D08216A5-DE1C-43B9-98D0-17CF24A973C5}"/>
    <cellStyle name="Note 3 4" xfId="560" xr:uid="{00000000-0005-0000-0000-0000D4210000}"/>
    <cellStyle name="Note 3 4 10" xfId="9148" xr:uid="{03106172-344A-43FC-9CEF-3CC5E5ACA9E9}"/>
    <cellStyle name="Note 3 4 2" xfId="1020" xr:uid="{00000000-0005-0000-0000-0000D5210000}"/>
    <cellStyle name="Note 3 4 2 2" xfId="3252" xr:uid="{00000000-0005-0000-0000-0000D6210000}"/>
    <cellStyle name="Note 3 4 2 2 2" xfId="7474" xr:uid="{00000000-0005-0000-0000-0000D7210000}"/>
    <cellStyle name="Note 3 4 2 2 2 2" xfId="15924" xr:uid="{422EECED-CE3A-4169-A941-3656210E637B}"/>
    <cellStyle name="Note 3 4 2 2 3" xfId="11706" xr:uid="{752C73BE-85F5-47F2-8EE0-C84D6BB295F6}"/>
    <cellStyle name="Note 3 4 2 3" xfId="5329" xr:uid="{00000000-0005-0000-0000-0000D8210000}"/>
    <cellStyle name="Note 3 4 2 3 2" xfId="13779" xr:uid="{88946B87-AD70-4C29-83B5-558006C1071D}"/>
    <cellStyle name="Note 3 4 2 4" xfId="9561" xr:uid="{05DC8863-54EC-4BD4-A748-7F595B8EE009}"/>
    <cellStyle name="Note 3 4 3" xfId="1435" xr:uid="{00000000-0005-0000-0000-0000D9210000}"/>
    <cellStyle name="Note 3 4 3 2" xfId="3665" xr:uid="{00000000-0005-0000-0000-0000DA210000}"/>
    <cellStyle name="Note 3 4 3 2 2" xfId="7887" xr:uid="{00000000-0005-0000-0000-0000DB210000}"/>
    <cellStyle name="Note 3 4 3 2 2 2" xfId="16337" xr:uid="{C8991F46-6A4D-432E-9537-B1392CEC5490}"/>
    <cellStyle name="Note 3 4 3 2 3" xfId="12119" xr:uid="{9F072D98-7824-49B8-9356-E4271BE513E0}"/>
    <cellStyle name="Note 3 4 3 3" xfId="5742" xr:uid="{00000000-0005-0000-0000-0000DC210000}"/>
    <cellStyle name="Note 3 4 3 3 2" xfId="14192" xr:uid="{890AA546-0194-4B57-BC0A-5628F8851153}"/>
    <cellStyle name="Note 3 4 3 4" xfId="9974" xr:uid="{1B6FDAD5-8E63-4DC2-A0F3-12AD5B3AB1BC}"/>
    <cellStyle name="Note 3 4 4" xfId="1849" xr:uid="{00000000-0005-0000-0000-0000DD210000}"/>
    <cellStyle name="Note 3 4 4 2" xfId="4078" xr:uid="{00000000-0005-0000-0000-0000DE210000}"/>
    <cellStyle name="Note 3 4 4 2 2" xfId="8300" xr:uid="{00000000-0005-0000-0000-0000DF210000}"/>
    <cellStyle name="Note 3 4 4 2 2 2" xfId="16750" xr:uid="{B11B0943-8A7C-4A77-90F5-B69C30D18108}"/>
    <cellStyle name="Note 3 4 4 2 3" xfId="12532" xr:uid="{FEBD203B-DD9E-4ACC-AB61-6AFB6301B1D4}"/>
    <cellStyle name="Note 3 4 4 3" xfId="6155" xr:uid="{00000000-0005-0000-0000-0000E0210000}"/>
    <cellStyle name="Note 3 4 4 3 2" xfId="14605" xr:uid="{C1444D5A-6D95-4883-9E57-22E72EE23B04}"/>
    <cellStyle name="Note 3 4 4 4" xfId="10387" xr:uid="{BA6AAF20-E2C6-4B8C-9310-85E239B1BF6F}"/>
    <cellStyle name="Note 3 4 5" xfId="2262" xr:uid="{00000000-0005-0000-0000-0000E1210000}"/>
    <cellStyle name="Note 3 4 5 2" xfId="4491" xr:uid="{00000000-0005-0000-0000-0000E2210000}"/>
    <cellStyle name="Note 3 4 5 2 2" xfId="8713" xr:uid="{00000000-0005-0000-0000-0000E3210000}"/>
    <cellStyle name="Note 3 4 5 2 2 2" xfId="17163" xr:uid="{DC2BDD88-6975-49E9-ACD9-B911945A9198}"/>
    <cellStyle name="Note 3 4 5 2 3" xfId="12945" xr:uid="{9DBC5E32-159B-42A2-A8B1-A2E237EF94BD}"/>
    <cellStyle name="Note 3 4 5 3" xfId="6568" xr:uid="{00000000-0005-0000-0000-0000E4210000}"/>
    <cellStyle name="Note 3 4 5 3 2" xfId="15018" xr:uid="{536BC61E-70D3-4972-A206-34890B8BB59C}"/>
    <cellStyle name="Note 3 4 5 4" xfId="10800" xr:uid="{A5FCB92B-042D-402E-8510-8134D0E3E110}"/>
    <cellStyle name="Note 3 4 6" xfId="2698" xr:uid="{00000000-0005-0000-0000-0000E5210000}"/>
    <cellStyle name="Note 3 4 6 2" xfId="6981" xr:uid="{00000000-0005-0000-0000-0000E6210000}"/>
    <cellStyle name="Note 3 4 6 2 2" xfId="15431" xr:uid="{11F795DA-4F5C-4535-A494-EE3B6D16FB2B}"/>
    <cellStyle name="Note 3 4 6 3" xfId="11213" xr:uid="{CDFC1C23-F04F-46F9-B3B0-730B47607C8F}"/>
    <cellStyle name="Note 3 4 7" xfId="2757" xr:uid="{00000000-0005-0000-0000-0000E7210000}"/>
    <cellStyle name="Note 3 4 8" xfId="2838" xr:uid="{00000000-0005-0000-0000-0000E8210000}"/>
    <cellStyle name="Note 3 4 8 2" xfId="7061" xr:uid="{00000000-0005-0000-0000-0000E9210000}"/>
    <cellStyle name="Note 3 4 8 2 2" xfId="15511" xr:uid="{F1D888B5-5E77-46EF-BE67-C66F63B41006}"/>
    <cellStyle name="Note 3 4 8 3" xfId="11293" xr:uid="{B5107530-3F70-48B9-BC10-3558F950EE7A}"/>
    <cellStyle name="Note 3 4 9" xfId="4916" xr:uid="{00000000-0005-0000-0000-0000EA210000}"/>
    <cellStyle name="Note 3 4 9 2" xfId="13366" xr:uid="{D3195714-4008-4B61-B543-70625E669E14}"/>
    <cellStyle name="Note 3 5" xfId="561" xr:uid="{00000000-0005-0000-0000-0000EB210000}"/>
    <cellStyle name="Note 3 5 10" xfId="9149" xr:uid="{02D5DEB3-B7DC-444F-A316-223CFA606DDB}"/>
    <cellStyle name="Note 3 5 2" xfId="1021" xr:uid="{00000000-0005-0000-0000-0000EC210000}"/>
    <cellStyle name="Note 3 5 2 2" xfId="3253" xr:uid="{00000000-0005-0000-0000-0000ED210000}"/>
    <cellStyle name="Note 3 5 2 2 2" xfId="7475" xr:uid="{00000000-0005-0000-0000-0000EE210000}"/>
    <cellStyle name="Note 3 5 2 2 2 2" xfId="15925" xr:uid="{24557D38-109D-44DD-9165-969F939BE438}"/>
    <cellStyle name="Note 3 5 2 2 3" xfId="11707" xr:uid="{E06D30DD-B7ED-4FC2-B872-C47599E40AFB}"/>
    <cellStyle name="Note 3 5 2 3" xfId="5330" xr:uid="{00000000-0005-0000-0000-0000EF210000}"/>
    <cellStyle name="Note 3 5 2 3 2" xfId="13780" xr:uid="{7263B592-9D57-4680-99D4-7DA98D5C330F}"/>
    <cellStyle name="Note 3 5 2 4" xfId="9562" xr:uid="{F8188D75-4CCF-4578-8667-4DD7680EC94F}"/>
    <cellStyle name="Note 3 5 3" xfId="1436" xr:uid="{00000000-0005-0000-0000-0000F0210000}"/>
    <cellStyle name="Note 3 5 3 2" xfId="3666" xr:uid="{00000000-0005-0000-0000-0000F1210000}"/>
    <cellStyle name="Note 3 5 3 2 2" xfId="7888" xr:uid="{00000000-0005-0000-0000-0000F2210000}"/>
    <cellStyle name="Note 3 5 3 2 2 2" xfId="16338" xr:uid="{EF24E08D-418D-4160-B554-86D57BB28744}"/>
    <cellStyle name="Note 3 5 3 2 3" xfId="12120" xr:uid="{07C5039B-94A9-4A41-BB42-EF84185DBDA0}"/>
    <cellStyle name="Note 3 5 3 3" xfId="5743" xr:uid="{00000000-0005-0000-0000-0000F3210000}"/>
    <cellStyle name="Note 3 5 3 3 2" xfId="14193" xr:uid="{15461A7A-494A-40FB-93BC-4FD12E30B97F}"/>
    <cellStyle name="Note 3 5 3 4" xfId="9975" xr:uid="{B23AFB22-E0D2-429E-85F8-841BD11C6194}"/>
    <cellStyle name="Note 3 5 4" xfId="1850" xr:uid="{00000000-0005-0000-0000-0000F4210000}"/>
    <cellStyle name="Note 3 5 4 2" xfId="4079" xr:uid="{00000000-0005-0000-0000-0000F5210000}"/>
    <cellStyle name="Note 3 5 4 2 2" xfId="8301" xr:uid="{00000000-0005-0000-0000-0000F6210000}"/>
    <cellStyle name="Note 3 5 4 2 2 2" xfId="16751" xr:uid="{C9512A68-5007-470E-80E2-118BADE36723}"/>
    <cellStyle name="Note 3 5 4 2 3" xfId="12533" xr:uid="{9DEFCF72-A2D9-4E67-A22B-E1E84A74B40E}"/>
    <cellStyle name="Note 3 5 4 3" xfId="6156" xr:uid="{00000000-0005-0000-0000-0000F7210000}"/>
    <cellStyle name="Note 3 5 4 3 2" xfId="14606" xr:uid="{CCB8C3EC-6C13-459F-9EF0-9DD6AF622D0D}"/>
    <cellStyle name="Note 3 5 4 4" xfId="10388" xr:uid="{84A5A327-4E9A-4709-A119-833853FFD063}"/>
    <cellStyle name="Note 3 5 5" xfId="2263" xr:uid="{00000000-0005-0000-0000-0000F8210000}"/>
    <cellStyle name="Note 3 5 5 2" xfId="4492" xr:uid="{00000000-0005-0000-0000-0000F9210000}"/>
    <cellStyle name="Note 3 5 5 2 2" xfId="8714" xr:uid="{00000000-0005-0000-0000-0000FA210000}"/>
    <cellStyle name="Note 3 5 5 2 2 2" xfId="17164" xr:uid="{523AACE1-F51D-4727-9393-E24D70AD2647}"/>
    <cellStyle name="Note 3 5 5 2 3" xfId="12946" xr:uid="{EB2BFAA9-B184-4F35-A537-F126FDBE9EC9}"/>
    <cellStyle name="Note 3 5 5 3" xfId="6569" xr:uid="{00000000-0005-0000-0000-0000FB210000}"/>
    <cellStyle name="Note 3 5 5 3 2" xfId="15019" xr:uid="{DF9A8E2F-6EAE-48D6-BC56-ECDCF5C11B59}"/>
    <cellStyle name="Note 3 5 5 4" xfId="10801" xr:uid="{D3FB13F1-A2F6-4D4B-9771-7FF85623AB1F}"/>
    <cellStyle name="Note 3 5 6" xfId="2699" xr:uid="{00000000-0005-0000-0000-0000FC210000}"/>
    <cellStyle name="Note 3 5 6 2" xfId="6982" xr:uid="{00000000-0005-0000-0000-0000FD210000}"/>
    <cellStyle name="Note 3 5 6 2 2" xfId="15432" xr:uid="{E6FCE712-9747-4B90-9F65-49B648D2A49E}"/>
    <cellStyle name="Note 3 5 6 3" xfId="11214" xr:uid="{A0ECCF69-000D-46E6-80F3-BA8D319E1A60}"/>
    <cellStyle name="Note 3 5 7" xfId="2758" xr:uid="{00000000-0005-0000-0000-0000FE210000}"/>
    <cellStyle name="Note 3 5 8" xfId="2839" xr:uid="{00000000-0005-0000-0000-0000FF210000}"/>
    <cellStyle name="Note 3 5 8 2" xfId="7062" xr:uid="{00000000-0005-0000-0000-000000220000}"/>
    <cellStyle name="Note 3 5 8 2 2" xfId="15512" xr:uid="{624EA7F9-3681-4BF2-8733-B1BE0FEF95F5}"/>
    <cellStyle name="Note 3 5 8 3" xfId="11294" xr:uid="{4C3331A0-6D77-4DBE-A5B9-2A0360029028}"/>
    <cellStyle name="Note 3 5 9" xfId="4917" xr:uid="{00000000-0005-0000-0000-000001220000}"/>
    <cellStyle name="Note 3 5 9 2" xfId="13367" xr:uid="{A85ED960-3E7D-448F-856A-1101DF48C89A}"/>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3 2" xfId="12950" xr:uid="{D28C671F-14BF-4473-87AA-6C0491D77476}"/>
    <cellStyle name="Percent 4" xfId="4502" xr:uid="{00000000-0005-0000-0000-000007220000}"/>
    <cellStyle name="Percent 4 2" xfId="8717" xr:uid="{00000000-0005-0000-0000-000008220000}"/>
    <cellStyle name="Percent 4 2 2" xfId="17167" xr:uid="{3074CD62-AE95-4B0D-B753-FA3DB94C6E7C}"/>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Percent 4 3 2 2 2 2 2" xfId="17183" xr:uid="{30171EC1-A6CF-4596-9B84-D7E4349ED14B}"/>
    <cellStyle name="Percent 4 3 2 2 2 3" xfId="17180" xr:uid="{A2F265C4-72FB-4842-8F9D-8C1DA607B330}"/>
    <cellStyle name="Percent 4 3 2 2 3" xfId="17176" xr:uid="{4C5D707D-2CEC-4360-AB22-5E45041C1187}"/>
    <cellStyle name="Percent 4 3 2 3" xfId="17173" xr:uid="{388D8252-3F5E-44E1-8916-0E866412D259}"/>
    <cellStyle name="Percent 4 3 3" xfId="17170" xr:uid="{77E533DC-E609-4699-92CA-3F3E3F61A115}"/>
    <cellStyle name="Percent 4 4" xfId="12953" xr:uid="{2D0E5146-BAB3-495E-A062-77BE661DC53C}"/>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9525</xdr:colOff>
          <xdr:row>77</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61" t="s">
        <v>550</v>
      </c>
      <c r="B1" s="1261"/>
      <c r="C1" s="1261"/>
      <c r="D1" s="1261"/>
      <c r="E1" s="1261"/>
      <c r="F1" s="1261"/>
      <c r="G1" s="1261"/>
      <c r="H1" s="1261"/>
      <c r="I1" s="1261"/>
      <c r="J1" s="1261"/>
      <c r="K1" s="1261"/>
      <c r="L1" s="1261"/>
      <c r="M1" s="1261"/>
      <c r="N1" s="1261"/>
      <c r="O1" s="1261"/>
      <c r="P1" s="1261"/>
      <c r="Q1" s="1261"/>
      <c r="R1" s="1261"/>
      <c r="S1" s="1261"/>
      <c r="T1" s="1261"/>
      <c r="U1" s="1261"/>
      <c r="V1" s="1261"/>
      <c r="W1" s="1261"/>
      <c r="X1" s="1261"/>
      <c r="Y1" s="1261"/>
      <c r="Z1" s="1261"/>
      <c r="AA1" s="1261"/>
      <c r="AB1" s="1261"/>
      <c r="AC1" s="1261"/>
      <c r="AD1" s="1261"/>
      <c r="AE1" s="1261"/>
      <c r="AF1" s="1261"/>
      <c r="AG1" s="1261"/>
      <c r="AH1" s="1261"/>
      <c r="AI1" s="1261"/>
      <c r="AJ1" s="1261"/>
      <c r="AK1" s="1261"/>
      <c r="AL1" s="1261"/>
    </row>
    <row r="2" spans="1:38" ht="13.5" thickBot="1">
      <c r="A2" s="1262"/>
      <c r="B2" s="1262"/>
      <c r="C2" s="1262"/>
      <c r="D2" s="1262"/>
      <c r="E2" s="1262"/>
      <c r="F2" s="1262"/>
      <c r="G2" s="1262"/>
      <c r="H2" s="1262"/>
      <c r="I2" s="1262"/>
      <c r="J2" s="1262"/>
      <c r="K2" s="1262"/>
      <c r="L2" s="1262"/>
      <c r="M2" s="1262"/>
      <c r="N2" s="1262"/>
      <c r="O2" s="1262"/>
      <c r="P2" s="1262"/>
      <c r="Q2" s="1262"/>
      <c r="R2" s="1262"/>
      <c r="S2" s="1262"/>
      <c r="T2" s="1262"/>
      <c r="U2" s="1262"/>
      <c r="V2" s="1262"/>
      <c r="W2" s="1262"/>
      <c r="X2" s="1262"/>
      <c r="Y2" s="1262"/>
      <c r="Z2" s="1262"/>
      <c r="AA2" s="1262"/>
      <c r="AB2" s="1262"/>
      <c r="AC2" s="1262"/>
      <c r="AD2" s="1262"/>
      <c r="AE2" s="1262"/>
      <c r="AF2" s="1262"/>
      <c r="AG2" s="1262"/>
      <c r="AH2" s="1262"/>
      <c r="AI2" s="1262"/>
      <c r="AJ2" s="1262"/>
      <c r="AK2" s="1262"/>
      <c r="AL2" s="1262"/>
    </row>
    <row r="3" spans="1:38" ht="13.5" thickTop="1"/>
    <row r="4" spans="1:38" s="5" customFormat="1">
      <c r="B4" s="11" t="s">
        <v>556</v>
      </c>
      <c r="C4" s="11" t="s">
        <v>508</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206</v>
      </c>
      <c r="D6" s="2" t="s">
        <v>329</v>
      </c>
      <c r="F6" s="4"/>
      <c r="G6" s="4"/>
      <c r="H6" s="4"/>
      <c r="I6" s="4"/>
      <c r="J6" s="4"/>
      <c r="K6" s="4"/>
      <c r="L6" s="4"/>
      <c r="M6" s="4"/>
      <c r="N6" s="4"/>
      <c r="O6" s="4"/>
      <c r="P6" s="4"/>
      <c r="Q6" s="4"/>
      <c r="R6" s="4"/>
      <c r="S6" s="4"/>
      <c r="T6" s="4"/>
      <c r="U6" s="4"/>
      <c r="V6" s="4"/>
      <c r="W6" s="4"/>
      <c r="X6" s="4"/>
      <c r="Y6" s="4"/>
      <c r="Z6" s="4"/>
      <c r="AA6" s="4"/>
      <c r="AB6" s="4"/>
    </row>
    <row r="7" spans="1:38" ht="13.15" customHeight="1">
      <c r="A7" s="204"/>
      <c r="B7" s="204"/>
      <c r="C7" s="205"/>
      <c r="D7" s="1263" t="s">
        <v>2034</v>
      </c>
      <c r="E7" s="1263"/>
      <c r="F7" s="1263"/>
      <c r="G7" s="1263"/>
      <c r="H7" s="1263"/>
      <c r="I7" s="1263"/>
      <c r="J7" s="1263"/>
      <c r="K7" s="1263"/>
      <c r="L7" s="1263"/>
      <c r="M7" s="1263"/>
      <c r="N7" s="1263"/>
      <c r="O7" s="1263"/>
      <c r="P7" s="1263"/>
      <c r="Q7" s="1263"/>
      <c r="R7" s="1263"/>
      <c r="S7" s="1263"/>
      <c r="T7" s="1263"/>
      <c r="U7" s="1263"/>
      <c r="V7" s="1263"/>
      <c r="W7" s="1263"/>
      <c r="X7" s="1263"/>
      <c r="Y7" s="1263"/>
      <c r="Z7" s="1263"/>
      <c r="AA7" s="1263"/>
      <c r="AB7" s="1263"/>
      <c r="AC7" s="1263"/>
      <c r="AD7" s="1263"/>
      <c r="AE7" s="1263"/>
      <c r="AF7" s="1263"/>
      <c r="AG7" s="1263"/>
      <c r="AH7" s="1263"/>
      <c r="AI7" s="1263"/>
      <c r="AJ7" s="1263"/>
      <c r="AK7" s="1263"/>
      <c r="AL7" s="455"/>
    </row>
    <row r="8" spans="1:38">
      <c r="A8" s="204"/>
      <c r="B8" s="204"/>
      <c r="C8" s="205"/>
      <c r="D8" s="1263"/>
      <c r="E8" s="1263"/>
      <c r="F8" s="1263"/>
      <c r="G8" s="1263"/>
      <c r="H8" s="1263"/>
      <c r="I8" s="1263"/>
      <c r="J8" s="1263"/>
      <c r="K8" s="1263"/>
      <c r="L8" s="1263"/>
      <c r="M8" s="1263"/>
      <c r="N8" s="1263"/>
      <c r="O8" s="1263"/>
      <c r="P8" s="1263"/>
      <c r="Q8" s="1263"/>
      <c r="R8" s="1263"/>
      <c r="S8" s="1263"/>
      <c r="T8" s="1263"/>
      <c r="U8" s="1263"/>
      <c r="V8" s="1263"/>
      <c r="W8" s="1263"/>
      <c r="X8" s="1263"/>
      <c r="Y8" s="1263"/>
      <c r="Z8" s="1263"/>
      <c r="AA8" s="1263"/>
      <c r="AB8" s="1263"/>
      <c r="AC8" s="1263"/>
      <c r="AD8" s="1263"/>
      <c r="AE8" s="1263"/>
      <c r="AF8" s="1263"/>
      <c r="AG8" s="1263"/>
      <c r="AH8" s="1263"/>
      <c r="AI8" s="1263"/>
      <c r="AJ8" s="1263"/>
      <c r="AK8" s="1263"/>
      <c r="AL8" s="455"/>
    </row>
    <row r="9" spans="1:38">
      <c r="A9" s="204"/>
      <c r="B9" s="204"/>
      <c r="C9" s="205"/>
      <c r="D9" s="1263"/>
      <c r="E9" s="1263"/>
      <c r="F9" s="1263"/>
      <c r="G9" s="1263"/>
      <c r="H9" s="1263"/>
      <c r="I9" s="1263"/>
      <c r="J9" s="1263"/>
      <c r="K9" s="1263"/>
      <c r="L9" s="1263"/>
      <c r="M9" s="1263"/>
      <c r="N9" s="1263"/>
      <c r="O9" s="1263"/>
      <c r="P9" s="1263"/>
      <c r="Q9" s="1263"/>
      <c r="R9" s="1263"/>
      <c r="S9" s="1263"/>
      <c r="T9" s="1263"/>
      <c r="U9" s="1263"/>
      <c r="V9" s="1263"/>
      <c r="W9" s="1263"/>
      <c r="X9" s="1263"/>
      <c r="Y9" s="1263"/>
      <c r="Z9" s="1263"/>
      <c r="AA9" s="1263"/>
      <c r="AB9" s="1263"/>
      <c r="AC9" s="1263"/>
      <c r="AD9" s="1263"/>
      <c r="AE9" s="1263"/>
      <c r="AF9" s="1263"/>
      <c r="AG9" s="1263"/>
      <c r="AH9" s="1263"/>
      <c r="AI9" s="1263"/>
      <c r="AJ9" s="1263"/>
      <c r="AK9" s="1263"/>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2.95" customHeight="1">
      <c r="A11" s="204"/>
      <c r="B11" s="204"/>
      <c r="C11" s="205"/>
      <c r="D11" s="1263" t="s">
        <v>2035</v>
      </c>
      <c r="E11" s="1263"/>
      <c r="F11" s="1263"/>
      <c r="G11" s="1263"/>
      <c r="H11" s="1263"/>
      <c r="I11" s="1263"/>
      <c r="J11" s="1263"/>
      <c r="K11" s="1263"/>
      <c r="L11" s="1263"/>
      <c r="M11" s="1263"/>
      <c r="N11" s="1263"/>
      <c r="O11" s="1263"/>
      <c r="P11" s="1263"/>
      <c r="Q11" s="1263"/>
      <c r="R11" s="1263"/>
      <c r="S11" s="1263"/>
      <c r="T11" s="1263"/>
      <c r="U11" s="1263"/>
      <c r="V11" s="1263"/>
      <c r="W11" s="1263"/>
      <c r="X11" s="1263"/>
      <c r="Y11" s="1263"/>
      <c r="Z11" s="1263"/>
      <c r="AA11" s="1263"/>
      <c r="AB11" s="1263"/>
      <c r="AC11" s="1263"/>
      <c r="AD11" s="1263"/>
      <c r="AE11" s="1263"/>
      <c r="AF11" s="1263"/>
      <c r="AG11" s="1263"/>
      <c r="AH11" s="1263"/>
      <c r="AI11" s="1263"/>
      <c r="AJ11" s="1263"/>
      <c r="AK11" s="1263"/>
      <c r="AL11" s="455"/>
    </row>
    <row r="12" spans="1:38">
      <c r="A12" s="204"/>
      <c r="B12" s="204"/>
      <c r="C12" s="205"/>
      <c r="D12" s="1263"/>
      <c r="E12" s="1263"/>
      <c r="F12" s="1263"/>
      <c r="G12" s="1263"/>
      <c r="H12" s="1263"/>
      <c r="I12" s="1263"/>
      <c r="J12" s="1263"/>
      <c r="K12" s="1263"/>
      <c r="L12" s="1263"/>
      <c r="M12" s="1263"/>
      <c r="N12" s="1263"/>
      <c r="O12" s="1263"/>
      <c r="P12" s="1263"/>
      <c r="Q12" s="1263"/>
      <c r="R12" s="1263"/>
      <c r="S12" s="1263"/>
      <c r="T12" s="1263"/>
      <c r="U12" s="1263"/>
      <c r="V12" s="1263"/>
      <c r="W12" s="1263"/>
      <c r="X12" s="1263"/>
      <c r="Y12" s="1263"/>
      <c r="Z12" s="1263"/>
      <c r="AA12" s="1263"/>
      <c r="AB12" s="1263"/>
      <c r="AC12" s="1263"/>
      <c r="AD12" s="1263"/>
      <c r="AE12" s="1263"/>
      <c r="AF12" s="1263"/>
      <c r="AG12" s="1263"/>
      <c r="AH12" s="1263"/>
      <c r="AI12" s="1263"/>
      <c r="AJ12" s="1263"/>
      <c r="AK12" s="1263"/>
      <c r="AL12" s="455"/>
    </row>
    <row r="13" spans="1:38">
      <c r="A13" s="204"/>
      <c r="B13" s="204"/>
      <c r="C13" s="205"/>
      <c r="D13" s="1263"/>
      <c r="E13" s="1263"/>
      <c r="F13" s="1263"/>
      <c r="G13" s="1263"/>
      <c r="H13" s="1263"/>
      <c r="I13" s="1263"/>
      <c r="J13" s="1263"/>
      <c r="K13" s="1263"/>
      <c r="L13" s="1263"/>
      <c r="M13" s="1263"/>
      <c r="N13" s="1263"/>
      <c r="O13" s="1263"/>
      <c r="P13" s="1263"/>
      <c r="Q13" s="1263"/>
      <c r="R13" s="1263"/>
      <c r="S13" s="1263"/>
      <c r="T13" s="1263"/>
      <c r="U13" s="1263"/>
      <c r="V13" s="1263"/>
      <c r="W13" s="1263"/>
      <c r="X13" s="1263"/>
      <c r="Y13" s="1263"/>
      <c r="Z13" s="1263"/>
      <c r="AA13" s="1263"/>
      <c r="AB13" s="1263"/>
      <c r="AC13" s="1263"/>
      <c r="AD13" s="1263"/>
      <c r="AE13" s="1263"/>
      <c r="AF13" s="1263"/>
      <c r="AG13" s="1263"/>
      <c r="AH13" s="1263"/>
      <c r="AI13" s="1263"/>
      <c r="AJ13" s="1263"/>
      <c r="AK13" s="1263"/>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15" customHeight="1">
      <c r="A15" s="204"/>
      <c r="B15" s="204"/>
      <c r="C15" s="205"/>
      <c r="D15" s="1263" t="s">
        <v>2603</v>
      </c>
      <c r="E15" s="1263"/>
      <c r="F15" s="1263"/>
      <c r="G15" s="1263"/>
      <c r="H15" s="1263"/>
      <c r="I15" s="1263"/>
      <c r="J15" s="1263"/>
      <c r="K15" s="1263"/>
      <c r="L15" s="1263"/>
      <c r="M15" s="1263"/>
      <c r="N15" s="1263"/>
      <c r="O15" s="1263"/>
      <c r="P15" s="1263"/>
      <c r="Q15" s="1263"/>
      <c r="R15" s="1263"/>
      <c r="S15" s="1263"/>
      <c r="T15" s="1263"/>
      <c r="U15" s="1263"/>
      <c r="V15" s="1263"/>
      <c r="W15" s="1263"/>
      <c r="X15" s="1263"/>
      <c r="Y15" s="1263"/>
      <c r="Z15" s="1263"/>
      <c r="AA15" s="1263"/>
      <c r="AB15" s="1263"/>
      <c r="AC15" s="1263"/>
      <c r="AD15" s="1263"/>
      <c r="AE15" s="1263"/>
      <c r="AF15" s="1263"/>
      <c r="AG15" s="1263"/>
      <c r="AH15" s="1263"/>
      <c r="AI15" s="1263"/>
      <c r="AJ15" s="1263"/>
      <c r="AK15" s="1263"/>
      <c r="AL15" s="455"/>
    </row>
    <row r="16" spans="1:38" ht="13.15" customHeight="1">
      <c r="A16" s="204"/>
      <c r="B16" s="204"/>
      <c r="C16" s="205"/>
      <c r="D16" s="1263"/>
      <c r="E16" s="1263"/>
      <c r="F16" s="1263"/>
      <c r="G16" s="1263"/>
      <c r="H16" s="1263"/>
      <c r="I16" s="1263"/>
      <c r="J16" s="1263"/>
      <c r="K16" s="1263"/>
      <c r="L16" s="1263"/>
      <c r="M16" s="1263"/>
      <c r="N16" s="1263"/>
      <c r="O16" s="1263"/>
      <c r="P16" s="1263"/>
      <c r="Q16" s="1263"/>
      <c r="R16" s="1263"/>
      <c r="S16" s="1263"/>
      <c r="T16" s="1263"/>
      <c r="U16" s="1263"/>
      <c r="V16" s="1263"/>
      <c r="W16" s="1263"/>
      <c r="X16" s="1263"/>
      <c r="Y16" s="1263"/>
      <c r="Z16" s="1263"/>
      <c r="AA16" s="1263"/>
      <c r="AB16" s="1263"/>
      <c r="AC16" s="1263"/>
      <c r="AD16" s="1263"/>
      <c r="AE16" s="1263"/>
      <c r="AF16" s="1263"/>
      <c r="AG16" s="1263"/>
      <c r="AH16" s="1263"/>
      <c r="AI16" s="1263"/>
      <c r="AJ16" s="1263"/>
      <c r="AK16" s="1263"/>
      <c r="AL16" s="455"/>
    </row>
    <row r="17" spans="1:38">
      <c r="A17" s="204"/>
      <c r="B17" s="204"/>
      <c r="C17" s="205"/>
      <c r="D17" s="1263"/>
      <c r="E17" s="1263"/>
      <c r="F17" s="1263"/>
      <c r="G17" s="1263"/>
      <c r="H17" s="1263"/>
      <c r="I17" s="1263"/>
      <c r="J17" s="1263"/>
      <c r="K17" s="1263"/>
      <c r="L17" s="1263"/>
      <c r="M17" s="1263"/>
      <c r="N17" s="1263"/>
      <c r="O17" s="1263"/>
      <c r="P17" s="1263"/>
      <c r="Q17" s="1263"/>
      <c r="R17" s="1263"/>
      <c r="S17" s="1263"/>
      <c r="T17" s="1263"/>
      <c r="U17" s="1263"/>
      <c r="V17" s="1263"/>
      <c r="W17" s="1263"/>
      <c r="X17" s="1263"/>
      <c r="Y17" s="1263"/>
      <c r="Z17" s="1263"/>
      <c r="AA17" s="1263"/>
      <c r="AB17" s="1263"/>
      <c r="AC17" s="1263"/>
      <c r="AD17" s="1263"/>
      <c r="AE17" s="1263"/>
      <c r="AF17" s="1263"/>
      <c r="AG17" s="1263"/>
      <c r="AH17" s="1263"/>
      <c r="AI17" s="1263"/>
      <c r="AJ17" s="1263"/>
      <c r="AK17" s="1263"/>
      <c r="AL17" s="455"/>
    </row>
    <row r="18" spans="1:38">
      <c r="A18" s="204"/>
      <c r="B18" s="204"/>
      <c r="C18" s="205"/>
      <c r="D18" s="519" t="s">
        <v>2602</v>
      </c>
      <c r="E18" s="441"/>
      <c r="G18" s="441"/>
      <c r="H18" s="441"/>
      <c r="I18" s="441"/>
      <c r="J18" s="1265" t="s">
        <v>2601</v>
      </c>
      <c r="K18" s="1265"/>
      <c r="L18" s="1265"/>
      <c r="M18" s="1265"/>
      <c r="N18" s="1265"/>
      <c r="O18" s="1265"/>
      <c r="P18" s="1265"/>
      <c r="Q18" s="1265"/>
      <c r="R18" s="1265"/>
      <c r="S18" s="1265"/>
      <c r="T18" s="1265"/>
      <c r="U18" s="1265"/>
      <c r="V18" s="1265"/>
      <c r="W18" s="1265"/>
      <c r="X18" s="1265"/>
      <c r="Y18" s="1265"/>
      <c r="Z18" s="1265"/>
      <c r="AA18" s="1265"/>
      <c r="AB18" s="1265"/>
      <c r="AC18" s="1265"/>
      <c r="AD18" s="1265"/>
      <c r="AE18" s="1265"/>
      <c r="AF18" s="1265"/>
      <c r="AG18" s="1265"/>
      <c r="AH18" s="1265"/>
      <c r="AI18" s="1265"/>
      <c r="AJ18" s="1265"/>
      <c r="AK18" s="1265"/>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15" customHeight="1">
      <c r="A20" s="204"/>
      <c r="B20" s="204"/>
      <c r="C20" s="205"/>
      <c r="D20" s="1263" t="s">
        <v>2036</v>
      </c>
      <c r="E20" s="1263"/>
      <c r="F20" s="1263"/>
      <c r="G20" s="1263"/>
      <c r="H20" s="1263"/>
      <c r="I20" s="1263"/>
      <c r="J20" s="1263"/>
      <c r="K20" s="1263"/>
      <c r="L20" s="1263"/>
      <c r="M20" s="1263"/>
      <c r="N20" s="1263"/>
      <c r="O20" s="1263"/>
      <c r="P20" s="1263"/>
      <c r="Q20" s="1263"/>
      <c r="R20" s="1263"/>
      <c r="S20" s="1263"/>
      <c r="T20" s="1263"/>
      <c r="U20" s="1263"/>
      <c r="V20" s="1263"/>
      <c r="W20" s="1263"/>
      <c r="X20" s="1263"/>
      <c r="Y20" s="1263"/>
      <c r="Z20" s="1263"/>
      <c r="AA20" s="1263"/>
      <c r="AB20" s="1263"/>
      <c r="AC20" s="1263"/>
      <c r="AD20" s="1263"/>
      <c r="AE20" s="1263"/>
      <c r="AF20" s="1263"/>
      <c r="AG20" s="1263"/>
      <c r="AH20" s="1263"/>
      <c r="AI20" s="1263"/>
      <c r="AJ20" s="1263"/>
      <c r="AK20" s="1263"/>
      <c r="AL20" s="204"/>
    </row>
    <row r="21" spans="1:38">
      <c r="A21" s="204"/>
      <c r="B21" s="204"/>
      <c r="C21" s="205"/>
      <c r="D21" s="1263"/>
      <c r="E21" s="1263"/>
      <c r="F21" s="1263"/>
      <c r="G21" s="1263"/>
      <c r="H21" s="1263"/>
      <c r="I21" s="1263"/>
      <c r="J21" s="1263"/>
      <c r="K21" s="1263"/>
      <c r="L21" s="1263"/>
      <c r="M21" s="1263"/>
      <c r="N21" s="1263"/>
      <c r="O21" s="1263"/>
      <c r="P21" s="1263"/>
      <c r="Q21" s="1263"/>
      <c r="R21" s="1263"/>
      <c r="S21" s="1263"/>
      <c r="T21" s="1263"/>
      <c r="U21" s="1263"/>
      <c r="V21" s="1263"/>
      <c r="W21" s="1263"/>
      <c r="X21" s="1263"/>
      <c r="Y21" s="1263"/>
      <c r="Z21" s="1263"/>
      <c r="AA21" s="1263"/>
      <c r="AB21" s="1263"/>
      <c r="AC21" s="1263"/>
      <c r="AD21" s="1263"/>
      <c r="AE21" s="1263"/>
      <c r="AF21" s="1263"/>
      <c r="AG21" s="1263"/>
      <c r="AH21" s="1263"/>
      <c r="AI21" s="1263"/>
      <c r="AJ21" s="1263"/>
      <c r="AK21" s="1263"/>
      <c r="AL21" s="204"/>
    </row>
    <row r="22" spans="1:38">
      <c r="A22" s="204"/>
      <c r="B22" s="204"/>
      <c r="C22" s="205"/>
      <c r="D22" s="1263"/>
      <c r="E22" s="1263"/>
      <c r="F22" s="1263"/>
      <c r="G22" s="1263"/>
      <c r="H22" s="1263"/>
      <c r="I22" s="1263"/>
      <c r="J22" s="1263"/>
      <c r="K22" s="1263"/>
      <c r="L22" s="1263"/>
      <c r="M22" s="1263"/>
      <c r="N22" s="1263"/>
      <c r="O22" s="1263"/>
      <c r="P22" s="1263"/>
      <c r="Q22" s="1263"/>
      <c r="R22" s="1263"/>
      <c r="S22" s="1263"/>
      <c r="T22" s="1263"/>
      <c r="U22" s="1263"/>
      <c r="V22" s="1263"/>
      <c r="W22" s="1263"/>
      <c r="X22" s="1263"/>
      <c r="Y22" s="1263"/>
      <c r="Z22" s="1263"/>
      <c r="AA22" s="1263"/>
      <c r="AB22" s="1263"/>
      <c r="AC22" s="1263"/>
      <c r="AD22" s="1263"/>
      <c r="AE22" s="1263"/>
      <c r="AF22" s="1263"/>
      <c r="AG22" s="1263"/>
      <c r="AH22" s="1263"/>
      <c r="AI22" s="1263"/>
      <c r="AJ22" s="1263"/>
      <c r="AK22" s="1263"/>
      <c r="AL22" s="204"/>
    </row>
    <row r="23" spans="1:38" ht="13.15" customHeight="1">
      <c r="A23" s="204"/>
      <c r="B23" s="204"/>
      <c r="C23" s="205"/>
      <c r="D23" s="1263"/>
      <c r="E23" s="1263"/>
      <c r="F23" s="1263"/>
      <c r="G23" s="1263"/>
      <c r="H23" s="1263"/>
      <c r="I23" s="1263"/>
      <c r="J23" s="1263"/>
      <c r="K23" s="1263"/>
      <c r="L23" s="1263"/>
      <c r="M23" s="1263"/>
      <c r="N23" s="1263"/>
      <c r="O23" s="1263"/>
      <c r="P23" s="1263"/>
      <c r="Q23" s="1263"/>
      <c r="R23" s="1263"/>
      <c r="S23" s="1263"/>
      <c r="T23" s="1263"/>
      <c r="U23" s="1263"/>
      <c r="V23" s="1263"/>
      <c r="W23" s="1263"/>
      <c r="X23" s="1263"/>
      <c r="Y23" s="1263"/>
      <c r="Z23" s="1263"/>
      <c r="AA23" s="1263"/>
      <c r="AB23" s="1263"/>
      <c r="AC23" s="1263"/>
      <c r="AD23" s="1263"/>
      <c r="AE23" s="1263"/>
      <c r="AF23" s="1263"/>
      <c r="AG23" s="1263"/>
      <c r="AH23" s="1263"/>
      <c r="AI23" s="1263"/>
      <c r="AJ23" s="1263"/>
      <c r="AK23" s="1263"/>
      <c r="AL23" s="204"/>
    </row>
    <row r="24" spans="1:38">
      <c r="A24" s="204"/>
      <c r="B24" s="204"/>
      <c r="C24" s="205"/>
      <c r="D24" s="1263"/>
      <c r="E24" s="1263"/>
      <c r="F24" s="1263"/>
      <c r="G24" s="1263"/>
      <c r="H24" s="1263"/>
      <c r="I24" s="1263"/>
      <c r="J24" s="1263"/>
      <c r="K24" s="1263"/>
      <c r="L24" s="1263"/>
      <c r="M24" s="1263"/>
      <c r="N24" s="1263"/>
      <c r="O24" s="1263"/>
      <c r="P24" s="1263"/>
      <c r="Q24" s="1263"/>
      <c r="R24" s="1263"/>
      <c r="S24" s="1263"/>
      <c r="T24" s="1263"/>
      <c r="U24" s="1263"/>
      <c r="V24" s="1263"/>
      <c r="W24" s="1263"/>
      <c r="X24" s="1263"/>
      <c r="Y24" s="1263"/>
      <c r="Z24" s="1263"/>
      <c r="AA24" s="1263"/>
      <c r="AB24" s="1263"/>
      <c r="AC24" s="1263"/>
      <c r="AD24" s="1263"/>
      <c r="AE24" s="1263"/>
      <c r="AF24" s="1263"/>
      <c r="AG24" s="1263"/>
      <c r="AH24" s="1263"/>
      <c r="AI24" s="1263"/>
      <c r="AJ24" s="1263"/>
      <c r="AK24" s="1263"/>
      <c r="AL24" s="204"/>
    </row>
    <row r="25" spans="1:38">
      <c r="A25" s="204"/>
      <c r="B25" s="204"/>
      <c r="C25" s="205"/>
      <c r="D25" s="1263"/>
      <c r="E25" s="1263"/>
      <c r="F25" s="1263"/>
      <c r="G25" s="1263"/>
      <c r="H25" s="1263"/>
      <c r="I25" s="1263"/>
      <c r="J25" s="1263"/>
      <c r="K25" s="1263"/>
      <c r="L25" s="1263"/>
      <c r="M25" s="1263"/>
      <c r="N25" s="1263"/>
      <c r="O25" s="1263"/>
      <c r="P25" s="1263"/>
      <c r="Q25" s="1263"/>
      <c r="R25" s="1263"/>
      <c r="S25" s="1263"/>
      <c r="T25" s="1263"/>
      <c r="U25" s="1263"/>
      <c r="V25" s="1263"/>
      <c r="W25" s="1263"/>
      <c r="X25" s="1263"/>
      <c r="Y25" s="1263"/>
      <c r="Z25" s="1263"/>
      <c r="AA25" s="1263"/>
      <c r="AB25" s="1263"/>
      <c r="AC25" s="1263"/>
      <c r="AD25" s="1263"/>
      <c r="AE25" s="1263"/>
      <c r="AF25" s="1263"/>
      <c r="AG25" s="1263"/>
      <c r="AH25" s="1263"/>
      <c r="AI25" s="1263"/>
      <c r="AJ25" s="1263"/>
      <c r="AK25" s="1263"/>
      <c r="AL25" s="204"/>
    </row>
    <row r="26" spans="1:38">
      <c r="A26" s="204"/>
      <c r="B26" s="204"/>
      <c r="C26" s="205"/>
      <c r="D26" s="1263"/>
      <c r="E26" s="1263"/>
      <c r="F26" s="1263"/>
      <c r="G26" s="1263"/>
      <c r="H26" s="1263"/>
      <c r="I26" s="1263"/>
      <c r="J26" s="1263"/>
      <c r="K26" s="1263"/>
      <c r="L26" s="1263"/>
      <c r="M26" s="1263"/>
      <c r="N26" s="1263"/>
      <c r="O26" s="1263"/>
      <c r="P26" s="1263"/>
      <c r="Q26" s="1263"/>
      <c r="R26" s="1263"/>
      <c r="S26" s="1263"/>
      <c r="T26" s="1263"/>
      <c r="U26" s="1263"/>
      <c r="V26" s="1263"/>
      <c r="W26" s="1263"/>
      <c r="X26" s="1263"/>
      <c r="Y26" s="1263"/>
      <c r="Z26" s="1263"/>
      <c r="AA26" s="1263"/>
      <c r="AB26" s="1263"/>
      <c r="AC26" s="1263"/>
      <c r="AD26" s="1263"/>
      <c r="AE26" s="1263"/>
      <c r="AF26" s="1263"/>
      <c r="AG26" s="1263"/>
      <c r="AH26" s="1263"/>
      <c r="AI26" s="1263"/>
      <c r="AJ26" s="1263"/>
      <c r="AK26" s="1263"/>
      <c r="AL26" s="204"/>
    </row>
    <row r="27" spans="1:38">
      <c r="A27" s="204"/>
      <c r="B27" s="204"/>
      <c r="C27" s="205"/>
      <c r="D27" s="1263"/>
      <c r="E27" s="1263"/>
      <c r="F27" s="1263"/>
      <c r="G27" s="1263"/>
      <c r="H27" s="1263"/>
      <c r="I27" s="1263"/>
      <c r="J27" s="1263"/>
      <c r="K27" s="1263"/>
      <c r="L27" s="1263"/>
      <c r="M27" s="1263"/>
      <c r="N27" s="1263"/>
      <c r="O27" s="1263"/>
      <c r="P27" s="1263"/>
      <c r="Q27" s="1263"/>
      <c r="R27" s="1263"/>
      <c r="S27" s="1263"/>
      <c r="T27" s="1263"/>
      <c r="U27" s="1263"/>
      <c r="V27" s="1263"/>
      <c r="W27" s="1263"/>
      <c r="X27" s="1263"/>
      <c r="Y27" s="1263"/>
      <c r="Z27" s="1263"/>
      <c r="AA27" s="1263"/>
      <c r="AB27" s="1263"/>
      <c r="AC27" s="1263"/>
      <c r="AD27" s="1263"/>
      <c r="AE27" s="1263"/>
      <c r="AF27" s="1263"/>
      <c r="AG27" s="1263"/>
      <c r="AH27" s="1263"/>
      <c r="AI27" s="1263"/>
      <c r="AJ27" s="1263"/>
      <c r="AK27" s="1263"/>
      <c r="AL27" s="204"/>
    </row>
    <row r="28" spans="1:38">
      <c r="A28" s="204"/>
      <c r="B28" s="204"/>
      <c r="C28" s="205"/>
      <c r="D28" s="1263"/>
      <c r="E28" s="1263"/>
      <c r="F28" s="1263"/>
      <c r="G28" s="1263"/>
      <c r="H28" s="1263"/>
      <c r="I28" s="1263"/>
      <c r="J28" s="1263"/>
      <c r="K28" s="1263"/>
      <c r="L28" s="1263"/>
      <c r="M28" s="1263"/>
      <c r="N28" s="1263"/>
      <c r="O28" s="1263"/>
      <c r="P28" s="1263"/>
      <c r="Q28" s="1263"/>
      <c r="R28" s="1263"/>
      <c r="S28" s="1263"/>
      <c r="T28" s="1263"/>
      <c r="U28" s="1263"/>
      <c r="V28" s="1263"/>
      <c r="W28" s="1263"/>
      <c r="X28" s="1263"/>
      <c r="Y28" s="1263"/>
      <c r="Z28" s="1263"/>
      <c r="AA28" s="1263"/>
      <c r="AB28" s="1263"/>
      <c r="AC28" s="1263"/>
      <c r="AD28" s="1263"/>
      <c r="AE28" s="1263"/>
      <c r="AF28" s="1263"/>
      <c r="AG28" s="1263"/>
      <c r="AH28" s="1263"/>
      <c r="AI28" s="1263"/>
      <c r="AJ28" s="1263"/>
      <c r="AK28" s="1263"/>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15" customHeight="1">
      <c r="A30" s="204"/>
      <c r="B30" s="204"/>
      <c r="C30" s="205"/>
      <c r="D30" s="1263" t="s">
        <v>2037</v>
      </c>
      <c r="E30" s="1263"/>
      <c r="F30" s="1263"/>
      <c r="G30" s="1263"/>
      <c r="H30" s="1263"/>
      <c r="I30" s="1263"/>
      <c r="J30" s="1263"/>
      <c r="K30" s="1263"/>
      <c r="L30" s="1263"/>
      <c r="M30" s="1263"/>
      <c r="N30" s="1263"/>
      <c r="O30" s="1263"/>
      <c r="P30" s="1263"/>
      <c r="Q30" s="1263"/>
      <c r="R30" s="1263"/>
      <c r="S30" s="1263"/>
      <c r="T30" s="1263"/>
      <c r="U30" s="1263"/>
      <c r="V30" s="1263"/>
      <c r="W30" s="1263"/>
      <c r="X30" s="1263"/>
      <c r="Y30" s="1263"/>
      <c r="Z30" s="1263"/>
      <c r="AA30" s="1263"/>
      <c r="AB30" s="1263"/>
      <c r="AC30" s="1263"/>
      <c r="AD30" s="1263"/>
      <c r="AE30" s="1263"/>
      <c r="AF30" s="1263"/>
      <c r="AG30" s="1263"/>
      <c r="AH30" s="1263"/>
      <c r="AI30" s="1263"/>
      <c r="AJ30" s="1263"/>
      <c r="AK30" s="1263"/>
      <c r="AL30" s="204"/>
    </row>
    <row r="31" spans="1:38">
      <c r="A31" s="204"/>
      <c r="B31" s="204"/>
      <c r="C31" s="205"/>
      <c r="D31" s="455"/>
      <c r="E31" s="1271" t="s">
        <v>2517</v>
      </c>
      <c r="F31" s="1272"/>
      <c r="G31" s="1272"/>
      <c r="H31" s="1272"/>
      <c r="I31" s="1272"/>
      <c r="J31" s="1272"/>
      <c r="K31" s="1272"/>
      <c r="L31" s="1272"/>
      <c r="M31" s="1272"/>
      <c r="N31" s="1272"/>
      <c r="O31" s="1272"/>
      <c r="P31" s="1272"/>
      <c r="Q31" s="1272"/>
      <c r="R31" s="1272"/>
      <c r="S31" s="1272"/>
      <c r="T31" s="1272"/>
      <c r="U31" s="1272"/>
      <c r="V31" s="1272"/>
      <c r="W31" s="1272"/>
      <c r="X31" s="1272"/>
      <c r="Y31" s="1272"/>
      <c r="Z31" s="1272"/>
      <c r="AA31" s="1272"/>
      <c r="AB31" s="1272"/>
      <c r="AC31" s="1272"/>
      <c r="AD31" s="1272"/>
      <c r="AE31" s="1272"/>
      <c r="AF31" s="1272"/>
      <c r="AG31" s="1272"/>
      <c r="AH31" s="1272"/>
      <c r="AI31" s="1272"/>
      <c r="AJ31" s="1272"/>
      <c r="AK31" s="1272"/>
      <c r="AL31" s="204"/>
    </row>
    <row r="32" spans="1:38">
      <c r="A32" s="4"/>
      <c r="C32" s="2"/>
    </row>
    <row r="33" spans="1:38">
      <c r="A33" s="4"/>
      <c r="D33" s="1264" t="s">
        <v>2141</v>
      </c>
      <c r="E33" s="1264"/>
      <c r="F33" s="1264"/>
      <c r="G33" s="1264"/>
      <c r="H33" s="1264"/>
      <c r="I33" s="1264"/>
      <c r="J33" s="1264"/>
      <c r="K33" s="1264"/>
      <c r="L33" s="1264"/>
      <c r="M33" s="1264"/>
      <c r="N33" s="1264"/>
      <c r="O33" s="1264"/>
      <c r="P33" s="1264"/>
      <c r="Q33" s="1264"/>
      <c r="R33" s="1264"/>
      <c r="S33" s="1264"/>
      <c r="T33" s="1264"/>
      <c r="U33" s="1264"/>
      <c r="V33" s="1264"/>
      <c r="W33" s="1264"/>
      <c r="X33" s="1264"/>
      <c r="Y33" s="1264"/>
      <c r="Z33" s="1264"/>
      <c r="AA33" s="1264"/>
      <c r="AB33" s="1264"/>
      <c r="AC33" s="1264"/>
      <c r="AD33" s="1264"/>
      <c r="AE33" s="1264"/>
      <c r="AF33" s="1264"/>
      <c r="AG33" s="1264"/>
      <c r="AH33" s="1264"/>
      <c r="AI33" s="1264"/>
      <c r="AJ33" s="1264"/>
      <c r="AK33" s="1264"/>
    </row>
    <row r="34" spans="1:38">
      <c r="A34" s="4"/>
      <c r="D34" s="1264"/>
      <c r="E34" s="1264"/>
      <c r="F34" s="1264"/>
      <c r="G34" s="1264"/>
      <c r="H34" s="1264"/>
      <c r="I34" s="1264"/>
      <c r="J34" s="1264"/>
      <c r="K34" s="1264"/>
      <c r="L34" s="1264"/>
      <c r="M34" s="1264"/>
      <c r="N34" s="1264"/>
      <c r="O34" s="1264"/>
      <c r="P34" s="1264"/>
      <c r="Q34" s="1264"/>
      <c r="R34" s="1264"/>
      <c r="S34" s="1264"/>
      <c r="T34" s="1264"/>
      <c r="U34" s="1264"/>
      <c r="V34" s="1264"/>
      <c r="W34" s="1264"/>
      <c r="X34" s="1264"/>
      <c r="Y34" s="1264"/>
      <c r="Z34" s="1264"/>
      <c r="AA34" s="1264"/>
      <c r="AB34" s="1264"/>
      <c r="AC34" s="1264"/>
      <c r="AD34" s="1264"/>
      <c r="AE34" s="1264"/>
      <c r="AF34" s="1264"/>
      <c r="AG34" s="1264"/>
      <c r="AH34" s="1264"/>
      <c r="AI34" s="1264"/>
      <c r="AJ34" s="1264"/>
      <c r="AK34" s="1264"/>
    </row>
    <row r="35" spans="1:38">
      <c r="A35" s="4"/>
      <c r="D35" s="120"/>
      <c r="E35" s="1270" t="s">
        <v>2044</v>
      </c>
      <c r="F35" s="1270"/>
      <c r="G35" s="1270"/>
      <c r="H35" s="1270"/>
      <c r="I35" s="1270"/>
      <c r="J35" s="1270"/>
      <c r="K35" s="1270"/>
      <c r="L35" s="1270"/>
      <c r="M35" s="1270"/>
      <c r="N35" s="1270"/>
      <c r="O35" s="1270"/>
      <c r="P35" s="1270"/>
      <c r="Q35" s="1270"/>
      <c r="R35" s="1270"/>
      <c r="S35" s="1270"/>
      <c r="T35" s="1270"/>
      <c r="U35" s="1270"/>
      <c r="V35" s="1270"/>
      <c r="W35" s="1270"/>
      <c r="X35" s="1270"/>
      <c r="Y35" s="1270"/>
      <c r="Z35" s="1270"/>
      <c r="AA35" s="1270"/>
      <c r="AB35" s="1270"/>
      <c r="AC35" s="1270"/>
      <c r="AD35" s="1270"/>
      <c r="AE35" s="1270"/>
      <c r="AF35" s="1270"/>
      <c r="AG35" s="1270"/>
      <c r="AH35" s="1270"/>
      <c r="AI35" s="1270"/>
      <c r="AJ35" s="1270"/>
      <c r="AK35" s="1270"/>
    </row>
    <row r="36" spans="1:38">
      <c r="A36" s="4"/>
      <c r="D36" s="120"/>
      <c r="E36" s="1270" t="s">
        <v>2045</v>
      </c>
      <c r="F36" s="1270"/>
      <c r="G36" s="1270"/>
      <c r="H36" s="1270"/>
      <c r="I36" s="1270"/>
      <c r="J36" s="1270"/>
      <c r="K36" s="1270"/>
      <c r="L36" s="1270"/>
      <c r="M36" s="1270"/>
      <c r="N36" s="1270"/>
      <c r="O36" s="1270"/>
      <c r="P36" s="1270"/>
      <c r="Q36" s="1270"/>
      <c r="R36" s="1270"/>
      <c r="S36" s="1270"/>
      <c r="T36" s="1270"/>
      <c r="U36" s="1270"/>
      <c r="V36" s="1270"/>
      <c r="W36" s="1270"/>
      <c r="X36" s="1270"/>
      <c r="Y36" s="1270"/>
      <c r="Z36" s="1270"/>
      <c r="AA36" s="1270"/>
      <c r="AB36" s="1270"/>
      <c r="AC36" s="1270"/>
      <c r="AD36" s="1270"/>
      <c r="AE36" s="1270"/>
      <c r="AF36" s="1270"/>
      <c r="AG36" s="1270"/>
      <c r="AH36" s="1270"/>
      <c r="AI36" s="1270"/>
      <c r="AJ36" s="1270"/>
      <c r="AK36" s="1270"/>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340</v>
      </c>
      <c r="D38" s="2" t="s">
        <v>737</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738</v>
      </c>
      <c r="F39" s="4"/>
      <c r="G39" s="4"/>
      <c r="H39" s="4"/>
      <c r="I39" s="4"/>
      <c r="J39" s="4"/>
      <c r="K39" s="4"/>
      <c r="L39" s="4"/>
      <c r="M39" s="4"/>
      <c r="N39" s="4"/>
      <c r="O39" s="4"/>
      <c r="P39" s="4"/>
      <c r="Q39" s="4"/>
      <c r="R39" s="4"/>
      <c r="S39" s="4"/>
      <c r="T39" s="4"/>
      <c r="U39" s="4"/>
      <c r="V39" s="4"/>
      <c r="W39" s="4"/>
      <c r="X39" s="4"/>
      <c r="Y39" s="4"/>
      <c r="Z39" s="4"/>
      <c r="AA39" s="4"/>
      <c r="AB39" s="4"/>
    </row>
    <row r="40" spans="1:38" s="1263" customFormat="1" ht="13.15" customHeight="1">
      <c r="A40" s="4"/>
      <c r="B40"/>
      <c r="C40" s="2"/>
      <c r="D40" s="4"/>
      <c r="E40" s="4" t="s">
        <v>653</v>
      </c>
      <c r="F40" s="1263" t="s">
        <v>1163</v>
      </c>
    </row>
    <row r="41" spans="1:38" s="1263" customFormat="1" ht="13.15" customHeight="1">
      <c r="A41" s="4"/>
      <c r="B41"/>
      <c r="C41" s="2"/>
      <c r="D41" s="4"/>
      <c r="E41" s="4"/>
    </row>
    <row r="42" spans="1:38">
      <c r="A42" s="4"/>
      <c r="C42" s="2"/>
      <c r="D42" s="4"/>
      <c r="E42" s="4"/>
      <c r="F42" s="35" t="s">
        <v>687</v>
      </c>
      <c r="G42" s="4" t="s">
        <v>175</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15" customHeight="1">
      <c r="A43" s="4"/>
      <c r="B43"/>
      <c r="C43" s="2"/>
      <c r="D43" s="4"/>
      <c r="E43" s="3" t="s">
        <v>347</v>
      </c>
      <c r="F43" s="1268" t="s">
        <v>1245</v>
      </c>
      <c r="G43" s="1268"/>
      <c r="H43" s="1268"/>
      <c r="I43" s="1268"/>
      <c r="J43" s="1268"/>
      <c r="K43" s="1268"/>
      <c r="L43" s="1268"/>
      <c r="M43" s="1268"/>
      <c r="N43" s="1268"/>
      <c r="O43" s="1268"/>
      <c r="P43" s="1268"/>
      <c r="Q43" s="1268"/>
      <c r="R43" s="1268"/>
      <c r="S43" s="1268"/>
      <c r="T43" s="1268"/>
      <c r="U43" s="1268"/>
      <c r="V43" s="1268"/>
      <c r="W43" s="1268"/>
      <c r="X43" s="1268"/>
      <c r="Y43" s="1268"/>
      <c r="Z43" s="1268"/>
      <c r="AA43" s="1268"/>
      <c r="AB43" s="1268"/>
      <c r="AC43" s="1268"/>
      <c r="AD43" s="1268"/>
      <c r="AE43" s="1268"/>
      <c r="AF43" s="1268"/>
      <c r="AG43" s="1268"/>
      <c r="AH43" s="1268"/>
      <c r="AI43" s="1268"/>
      <c r="AJ43" s="1268"/>
      <c r="AK43" s="1268"/>
      <c r="AL43" s="1268"/>
    </row>
    <row r="44" spans="1:38" s="118" customFormat="1">
      <c r="A44" s="4"/>
      <c r="B44"/>
      <c r="C44" s="2"/>
      <c r="D44" s="4"/>
      <c r="E44" s="4"/>
      <c r="F44" s="1268"/>
      <c r="G44" s="1268"/>
      <c r="H44" s="1268"/>
      <c r="I44" s="1268"/>
      <c r="J44" s="1268"/>
      <c r="K44" s="1268"/>
      <c r="L44" s="1268"/>
      <c r="M44" s="1268"/>
      <c r="N44" s="1268"/>
      <c r="O44" s="1268"/>
      <c r="P44" s="1268"/>
      <c r="Q44" s="1268"/>
      <c r="R44" s="1268"/>
      <c r="S44" s="1268"/>
      <c r="T44" s="1268"/>
      <c r="U44" s="1268"/>
      <c r="V44" s="1268"/>
      <c r="W44" s="1268"/>
      <c r="X44" s="1268"/>
      <c r="Y44" s="1268"/>
      <c r="Z44" s="1268"/>
      <c r="AA44" s="1268"/>
      <c r="AB44" s="1268"/>
      <c r="AC44" s="1268"/>
      <c r="AD44" s="1268"/>
      <c r="AE44" s="1268"/>
      <c r="AF44" s="1268"/>
      <c r="AG44" s="1268"/>
      <c r="AH44" s="1268"/>
      <c r="AI44" s="1268"/>
      <c r="AJ44" s="1268"/>
      <c r="AK44" s="1268"/>
      <c r="AL44" s="1268"/>
    </row>
    <row r="45" spans="1:38" s="118" customFormat="1" ht="13.15" customHeight="1">
      <c r="A45" s="4"/>
      <c r="B45"/>
      <c r="C45" s="2"/>
      <c r="D45" s="4"/>
      <c r="E45" s="4"/>
      <c r="F45" s="1268"/>
      <c r="G45" s="1268"/>
      <c r="H45" s="1268"/>
      <c r="I45" s="1268"/>
      <c r="J45" s="1268"/>
      <c r="K45" s="1268"/>
      <c r="L45" s="1268"/>
      <c r="M45" s="1268"/>
      <c r="N45" s="1268"/>
      <c r="O45" s="1268"/>
      <c r="P45" s="1268"/>
      <c r="Q45" s="1268"/>
      <c r="R45" s="1268"/>
      <c r="S45" s="1268"/>
      <c r="T45" s="1268"/>
      <c r="U45" s="1268"/>
      <c r="V45" s="1268"/>
      <c r="W45" s="1268"/>
      <c r="X45" s="1268"/>
      <c r="Y45" s="1268"/>
      <c r="Z45" s="1268"/>
      <c r="AA45" s="1268"/>
      <c r="AB45" s="1268"/>
      <c r="AC45" s="1268"/>
      <c r="AD45" s="1268"/>
      <c r="AE45" s="1268"/>
      <c r="AF45" s="1268"/>
      <c r="AG45" s="1268"/>
      <c r="AH45" s="1268"/>
      <c r="AI45" s="1268"/>
      <c r="AJ45" s="1268"/>
      <c r="AK45" s="1268"/>
      <c r="AL45" s="1268"/>
    </row>
    <row r="46" spans="1:38">
      <c r="A46" s="4"/>
      <c r="C46" s="2"/>
      <c r="D46" s="4"/>
      <c r="E46" s="4"/>
      <c r="F46" s="118" t="s">
        <v>687</v>
      </c>
      <c r="G46" s="3" t="s">
        <v>2038</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509</v>
      </c>
      <c r="G47" s="4" t="s">
        <v>547</v>
      </c>
      <c r="I47" s="4"/>
      <c r="J47" s="4"/>
      <c r="K47" s="4"/>
      <c r="L47" s="4"/>
      <c r="O47" s="4"/>
      <c r="P47" s="4"/>
      <c r="Q47" s="4"/>
      <c r="R47" s="4"/>
      <c r="S47" s="4"/>
      <c r="T47" s="4"/>
      <c r="U47" s="4"/>
      <c r="V47" s="4"/>
      <c r="W47" s="4"/>
      <c r="X47" s="4"/>
      <c r="Y47" s="4"/>
      <c r="Z47" s="4"/>
      <c r="AA47" s="4"/>
      <c r="AB47" s="4"/>
    </row>
    <row r="48" spans="1:38">
      <c r="A48" s="4"/>
      <c r="C48" s="2"/>
      <c r="D48" s="4"/>
      <c r="E48" s="3" t="s">
        <v>348</v>
      </c>
      <c r="F48" s="1263" t="s">
        <v>2039</v>
      </c>
      <c r="G48" s="1263"/>
      <c r="H48" s="1263"/>
      <c r="I48" s="1263"/>
      <c r="J48" s="1263"/>
      <c r="K48" s="1263"/>
      <c r="L48" s="1263"/>
      <c r="M48" s="1263"/>
      <c r="N48" s="1263"/>
      <c r="O48" s="1263"/>
      <c r="P48" s="1263"/>
      <c r="Q48" s="1263"/>
      <c r="R48" s="1263"/>
      <c r="S48" s="1263"/>
      <c r="T48" s="1263"/>
      <c r="U48" s="1263"/>
      <c r="V48" s="1263"/>
      <c r="W48" s="1263"/>
      <c r="X48" s="1263"/>
      <c r="Y48" s="1263"/>
      <c r="Z48" s="1263"/>
      <c r="AA48" s="1263"/>
      <c r="AB48" s="1263"/>
      <c r="AC48" s="1263"/>
      <c r="AD48" s="1263"/>
      <c r="AE48" s="1263"/>
      <c r="AF48" s="1263"/>
      <c r="AG48" s="1263"/>
      <c r="AH48" s="1263"/>
      <c r="AI48" s="1263"/>
      <c r="AJ48" s="1263"/>
      <c r="AK48" s="1263"/>
    </row>
    <row r="49" spans="1:38">
      <c r="A49" s="4"/>
      <c r="C49" s="2"/>
      <c r="D49" s="4"/>
      <c r="E49" s="4"/>
      <c r="F49" s="1263"/>
      <c r="G49" s="1263"/>
      <c r="H49" s="1263"/>
      <c r="I49" s="1263"/>
      <c r="J49" s="1263"/>
      <c r="K49" s="1263"/>
      <c r="L49" s="1263"/>
      <c r="M49" s="1263"/>
      <c r="N49" s="1263"/>
      <c r="O49" s="1263"/>
      <c r="P49" s="1263"/>
      <c r="Q49" s="1263"/>
      <c r="R49" s="1263"/>
      <c r="S49" s="1263"/>
      <c r="T49" s="1263"/>
      <c r="U49" s="1263"/>
      <c r="V49" s="1263"/>
      <c r="W49" s="1263"/>
      <c r="X49" s="1263"/>
      <c r="Y49" s="1263"/>
      <c r="Z49" s="1263"/>
      <c r="AA49" s="1263"/>
      <c r="AB49" s="1263"/>
      <c r="AC49" s="1263"/>
      <c r="AD49" s="1263"/>
      <c r="AE49" s="1263"/>
      <c r="AF49" s="1263"/>
      <c r="AG49" s="1263"/>
      <c r="AH49" s="1263"/>
      <c r="AI49" s="1263"/>
      <c r="AJ49" s="1263"/>
      <c r="AK49" s="1263"/>
    </row>
    <row r="50" spans="1:38">
      <c r="A50" s="4"/>
      <c r="C50" s="2"/>
      <c r="D50" s="4"/>
      <c r="F50" s="1263"/>
      <c r="G50" s="1263"/>
      <c r="H50" s="1263"/>
      <c r="I50" s="1263"/>
      <c r="J50" s="1263"/>
      <c r="K50" s="1263"/>
      <c r="L50" s="1263"/>
      <c r="M50" s="1263"/>
      <c r="N50" s="1263"/>
      <c r="O50" s="1263"/>
      <c r="P50" s="1263"/>
      <c r="Q50" s="1263"/>
      <c r="R50" s="1263"/>
      <c r="S50" s="1263"/>
      <c r="T50" s="1263"/>
      <c r="U50" s="1263"/>
      <c r="V50" s="1263"/>
      <c r="W50" s="1263"/>
      <c r="X50" s="1263"/>
      <c r="Y50" s="1263"/>
      <c r="Z50" s="1263"/>
      <c r="AA50" s="1263"/>
      <c r="AB50" s="1263"/>
      <c r="AC50" s="1263"/>
      <c r="AD50" s="1263"/>
      <c r="AE50" s="1263"/>
      <c r="AF50" s="1263"/>
      <c r="AG50" s="1263"/>
      <c r="AH50" s="1263"/>
      <c r="AI50" s="1263"/>
      <c r="AJ50" s="1263"/>
      <c r="AK50" s="1263"/>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651</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653</v>
      </c>
      <c r="F53" s="3" t="s">
        <v>1191</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15" customHeight="1">
      <c r="A54" s="204"/>
      <c r="B54" s="204"/>
      <c r="C54" s="205"/>
      <c r="D54" s="205"/>
      <c r="E54" s="204"/>
      <c r="F54" s="206" t="s">
        <v>687</v>
      </c>
      <c r="G54" s="1266" t="s">
        <v>1190</v>
      </c>
      <c r="H54" s="1266"/>
      <c r="I54" s="1266"/>
      <c r="J54" s="1266"/>
      <c r="K54" s="1266"/>
      <c r="L54" s="1266"/>
      <c r="M54" s="1266"/>
      <c r="N54" s="1266"/>
      <c r="O54" s="1266"/>
      <c r="P54" s="1266"/>
      <c r="Q54" s="1266"/>
      <c r="R54" s="1266"/>
      <c r="S54" s="1266"/>
      <c r="T54" s="1266"/>
      <c r="U54" s="1266"/>
      <c r="V54" s="1266"/>
      <c r="W54" s="1266"/>
      <c r="X54" s="1266"/>
      <c r="Y54" s="1266"/>
      <c r="Z54" s="1266"/>
      <c r="AA54" s="1266"/>
      <c r="AB54" s="1266"/>
      <c r="AC54" s="1266"/>
      <c r="AD54" s="1266"/>
      <c r="AE54" s="1266"/>
      <c r="AF54" s="1266"/>
      <c r="AG54" s="1266"/>
      <c r="AH54" s="1266"/>
      <c r="AI54" s="1266"/>
      <c r="AJ54" s="1266"/>
      <c r="AK54" s="1266"/>
      <c r="AL54" s="204"/>
    </row>
    <row r="55" spans="1:38" ht="13.15" customHeight="1">
      <c r="A55" s="204"/>
      <c r="B55" s="204"/>
      <c r="C55" s="205"/>
      <c r="D55" s="205"/>
      <c r="E55" s="204"/>
      <c r="F55" s="206"/>
      <c r="G55" s="478" t="s">
        <v>1192</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66" t="s">
        <v>575</v>
      </c>
      <c r="H56" s="1266"/>
      <c r="I56" s="1266"/>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15" customHeight="1">
      <c r="A57" s="204"/>
      <c r="B57" s="205"/>
      <c r="C57" s="205"/>
      <c r="D57" s="205"/>
      <c r="E57" s="204"/>
      <c r="F57" s="206" t="s">
        <v>509</v>
      </c>
      <c r="G57" s="1266" t="s">
        <v>2040</v>
      </c>
      <c r="H57" s="1266"/>
      <c r="I57" s="1266"/>
      <c r="J57" s="1266"/>
      <c r="K57" s="1266"/>
      <c r="L57" s="1266"/>
      <c r="M57" s="1266"/>
      <c r="N57" s="1266"/>
      <c r="O57" s="1266"/>
      <c r="P57" s="1266"/>
      <c r="Q57" s="1266"/>
      <c r="R57" s="1266"/>
      <c r="S57" s="1266"/>
      <c r="T57" s="1266"/>
      <c r="U57" s="1266"/>
      <c r="V57" s="1266"/>
      <c r="W57" s="1266"/>
      <c r="X57" s="1266"/>
      <c r="Y57" s="1266"/>
      <c r="Z57" s="1266"/>
      <c r="AA57" s="1266"/>
      <c r="AB57" s="1266"/>
      <c r="AC57" s="1266"/>
      <c r="AD57" s="1266"/>
      <c r="AE57" s="1266"/>
      <c r="AF57" s="1266"/>
      <c r="AG57" s="1266"/>
      <c r="AH57" s="1266"/>
      <c r="AI57" s="1266"/>
      <c r="AJ57" s="1266"/>
      <c r="AK57" s="1266"/>
      <c r="AL57" s="1266"/>
    </row>
    <row r="58" spans="1:38">
      <c r="A58" s="204"/>
      <c r="B58" s="204"/>
      <c r="C58" s="205"/>
      <c r="D58" s="205"/>
      <c r="E58" s="204"/>
      <c r="F58" s="206"/>
      <c r="G58" s="1266"/>
      <c r="H58" s="1266"/>
      <c r="I58" s="1266"/>
      <c r="J58" s="1266"/>
      <c r="K58" s="1266"/>
      <c r="L58" s="1266"/>
      <c r="M58" s="1266"/>
      <c r="N58" s="1266"/>
      <c r="O58" s="1266"/>
      <c r="P58" s="1266"/>
      <c r="Q58" s="1266"/>
      <c r="R58" s="1266"/>
      <c r="S58" s="1266"/>
      <c r="T58" s="1266"/>
      <c r="U58" s="1266"/>
      <c r="V58" s="1266"/>
      <c r="W58" s="1266"/>
      <c r="X58" s="1266"/>
      <c r="Y58" s="1266"/>
      <c r="Z58" s="1266"/>
      <c r="AA58" s="1266"/>
      <c r="AB58" s="1266"/>
      <c r="AC58" s="1266"/>
      <c r="AD58" s="1266"/>
      <c r="AE58" s="1266"/>
      <c r="AF58" s="1266"/>
      <c r="AG58" s="1266"/>
      <c r="AH58" s="1266"/>
      <c r="AI58" s="1266"/>
      <c r="AJ58" s="1266"/>
      <c r="AK58" s="1266"/>
      <c r="AL58" s="1266"/>
    </row>
    <row r="59" spans="1:38">
      <c r="A59" s="204"/>
      <c r="B59" s="204"/>
      <c r="C59" s="205"/>
      <c r="D59" s="205"/>
      <c r="E59" s="204"/>
      <c r="F59" s="206"/>
      <c r="G59" s="479" t="s">
        <v>1278</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174</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1164</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653</v>
      </c>
      <c r="F63" s="4" t="s">
        <v>508</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687</v>
      </c>
      <c r="G64" s="1263" t="s">
        <v>1165</v>
      </c>
      <c r="H64" s="1263"/>
      <c r="I64" s="1263"/>
      <c r="J64" s="1263"/>
      <c r="K64" s="1263"/>
      <c r="L64" s="1263"/>
      <c r="M64" s="1263"/>
      <c r="N64" s="1263"/>
      <c r="O64" s="1263"/>
      <c r="P64" s="1263"/>
      <c r="Q64" s="1263"/>
      <c r="R64" s="1263"/>
      <c r="S64" s="1263"/>
      <c r="T64" s="1263"/>
      <c r="U64" s="1263"/>
      <c r="V64" s="1263"/>
      <c r="W64" s="1263"/>
      <c r="X64" s="1263"/>
      <c r="Y64" s="1263"/>
      <c r="Z64" s="1263"/>
      <c r="AA64" s="1263"/>
      <c r="AB64" s="1263"/>
      <c r="AC64" s="1263"/>
      <c r="AD64" s="1263"/>
      <c r="AE64" s="1263"/>
      <c r="AF64" s="1263"/>
      <c r="AG64" s="1263"/>
      <c r="AH64" s="1263"/>
      <c r="AI64" s="1263"/>
      <c r="AJ64" s="1263"/>
      <c r="AK64" s="1263"/>
    </row>
    <row r="65" spans="1:37">
      <c r="A65" s="4"/>
      <c r="C65" s="2"/>
      <c r="D65" s="4"/>
      <c r="E65" s="4"/>
      <c r="G65" s="1263"/>
      <c r="H65" s="1263"/>
      <c r="I65" s="1263"/>
      <c r="J65" s="1263"/>
      <c r="K65" s="1263"/>
      <c r="L65" s="1263"/>
      <c r="M65" s="1263"/>
      <c r="N65" s="1263"/>
      <c r="O65" s="1263"/>
      <c r="P65" s="1263"/>
      <c r="Q65" s="1263"/>
      <c r="R65" s="1263"/>
      <c r="S65" s="1263"/>
      <c r="T65" s="1263"/>
      <c r="U65" s="1263"/>
      <c r="V65" s="1263"/>
      <c r="W65" s="1263"/>
      <c r="X65" s="1263"/>
      <c r="Y65" s="1263"/>
      <c r="Z65" s="1263"/>
      <c r="AA65" s="1263"/>
      <c r="AB65" s="1263"/>
      <c r="AC65" s="1263"/>
      <c r="AD65" s="1263"/>
      <c r="AE65" s="1263"/>
      <c r="AF65" s="1263"/>
      <c r="AG65" s="1263"/>
      <c r="AH65" s="1263"/>
      <c r="AI65" s="1263"/>
      <c r="AJ65" s="1263"/>
      <c r="AK65" s="1263"/>
    </row>
    <row r="66" spans="1:37">
      <c r="A66" s="4"/>
      <c r="C66" s="2"/>
      <c r="D66" s="4"/>
      <c r="E66" s="4"/>
      <c r="G66" s="1263"/>
      <c r="H66" s="1263"/>
      <c r="I66" s="1263"/>
      <c r="J66" s="1263"/>
      <c r="K66" s="1263"/>
      <c r="L66" s="1263"/>
      <c r="M66" s="1263"/>
      <c r="N66" s="1263"/>
      <c r="O66" s="1263"/>
      <c r="P66" s="1263"/>
      <c r="Q66" s="1263"/>
      <c r="R66" s="1263"/>
      <c r="S66" s="1263"/>
      <c r="T66" s="1263"/>
      <c r="U66" s="1263"/>
      <c r="V66" s="1263"/>
      <c r="W66" s="1263"/>
      <c r="X66" s="1263"/>
      <c r="Y66" s="1263"/>
      <c r="Z66" s="1263"/>
      <c r="AA66" s="1263"/>
      <c r="AB66" s="1263"/>
      <c r="AC66" s="1263"/>
      <c r="AD66" s="1263"/>
      <c r="AE66" s="1263"/>
      <c r="AF66" s="1263"/>
      <c r="AG66" s="1263"/>
      <c r="AH66" s="1263"/>
      <c r="AI66" s="1263"/>
      <c r="AJ66" s="1263"/>
      <c r="AK66" s="1263"/>
    </row>
    <row r="67" spans="1:37" ht="13.15" customHeight="1">
      <c r="A67" s="4"/>
      <c r="C67" s="2"/>
      <c r="D67" s="4"/>
      <c r="E67" s="4"/>
      <c r="F67" t="s">
        <v>509</v>
      </c>
      <c r="G67" s="1263" t="s">
        <v>1166</v>
      </c>
      <c r="H67" s="1263"/>
      <c r="I67" s="1263"/>
      <c r="J67" s="1263"/>
      <c r="K67" s="1263"/>
      <c r="L67" s="1263"/>
      <c r="M67" s="1263"/>
      <c r="N67" s="1263"/>
      <c r="O67" s="1263"/>
      <c r="P67" s="1263"/>
      <c r="Q67" s="1263"/>
      <c r="R67" s="1263"/>
      <c r="S67" s="1263"/>
      <c r="T67" s="1263"/>
      <c r="U67" s="1263"/>
      <c r="V67" s="1263"/>
      <c r="W67" s="1263"/>
      <c r="X67" s="1263"/>
      <c r="Y67" s="1263"/>
      <c r="Z67" s="1263"/>
      <c r="AA67" s="1263"/>
      <c r="AB67" s="1263"/>
      <c r="AC67" s="1263"/>
      <c r="AD67" s="1263"/>
      <c r="AE67" s="1263"/>
      <c r="AF67" s="1263"/>
      <c r="AG67" s="1263"/>
      <c r="AH67" s="1263"/>
      <c r="AI67" s="1263"/>
      <c r="AJ67" s="1263"/>
      <c r="AK67" s="1263"/>
    </row>
    <row r="68" spans="1:37">
      <c r="A68" s="4"/>
      <c r="C68" s="2"/>
      <c r="D68" s="4"/>
      <c r="E68" s="4"/>
      <c r="F68" s="27"/>
      <c r="G68" s="1263"/>
      <c r="H68" s="1263"/>
      <c r="I68" s="1263"/>
      <c r="J68" s="1263"/>
      <c r="K68" s="1263"/>
      <c r="L68" s="1263"/>
      <c r="M68" s="1263"/>
      <c r="N68" s="1263"/>
      <c r="O68" s="1263"/>
      <c r="P68" s="1263"/>
      <c r="Q68" s="1263"/>
      <c r="R68" s="1263"/>
      <c r="S68" s="1263"/>
      <c r="T68" s="1263"/>
      <c r="U68" s="1263"/>
      <c r="V68" s="1263"/>
      <c r="W68" s="1263"/>
      <c r="X68" s="1263"/>
      <c r="Y68" s="1263"/>
      <c r="Z68" s="1263"/>
      <c r="AA68" s="1263"/>
      <c r="AB68" s="1263"/>
      <c r="AC68" s="1263"/>
      <c r="AD68" s="1263"/>
      <c r="AE68" s="1263"/>
      <c r="AF68" s="1263"/>
      <c r="AG68" s="1263"/>
      <c r="AH68" s="1263"/>
      <c r="AI68" s="1263"/>
      <c r="AJ68" s="1263"/>
      <c r="AK68" s="1263"/>
    </row>
    <row r="69" spans="1:37">
      <c r="A69" s="4"/>
      <c r="C69" s="2"/>
      <c r="D69" s="4"/>
      <c r="E69" s="4" t="s">
        <v>347</v>
      </c>
      <c r="F69" s="4" t="s">
        <v>420</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687</v>
      </c>
      <c r="G70" s="1263" t="s">
        <v>1167</v>
      </c>
      <c r="H70" s="1263"/>
      <c r="I70" s="1263"/>
      <c r="J70" s="1263"/>
      <c r="K70" s="1263"/>
      <c r="L70" s="1263"/>
      <c r="M70" s="1263"/>
      <c r="N70" s="1263"/>
      <c r="O70" s="1263"/>
      <c r="P70" s="1263"/>
      <c r="Q70" s="1263"/>
      <c r="R70" s="1263"/>
      <c r="S70" s="1263"/>
      <c r="T70" s="1263"/>
      <c r="U70" s="1263"/>
      <c r="V70" s="1263"/>
      <c r="W70" s="1263"/>
      <c r="X70" s="1263"/>
      <c r="Y70" s="1263"/>
      <c r="Z70" s="1263"/>
      <c r="AA70" s="1263"/>
      <c r="AB70" s="1263"/>
      <c r="AC70" s="1263"/>
      <c r="AD70" s="1263"/>
      <c r="AE70" s="1263"/>
      <c r="AF70" s="1263"/>
      <c r="AG70" s="1263"/>
      <c r="AH70" s="1263"/>
      <c r="AI70" s="1263"/>
      <c r="AJ70" s="1263"/>
      <c r="AK70" s="1263"/>
    </row>
    <row r="71" spans="1:37">
      <c r="A71" s="4"/>
      <c r="C71" s="2"/>
      <c r="D71" s="4"/>
      <c r="E71" s="4"/>
      <c r="F71" s="8"/>
      <c r="G71" s="1263"/>
      <c r="H71" s="1263"/>
      <c r="I71" s="1263"/>
      <c r="J71" s="1263"/>
      <c r="K71" s="1263"/>
      <c r="L71" s="1263"/>
      <c r="M71" s="1263"/>
      <c r="N71" s="1263"/>
      <c r="O71" s="1263"/>
      <c r="P71" s="1263"/>
      <c r="Q71" s="1263"/>
      <c r="R71" s="1263"/>
      <c r="S71" s="1263"/>
      <c r="T71" s="1263"/>
      <c r="U71" s="1263"/>
      <c r="V71" s="1263"/>
      <c r="W71" s="1263"/>
      <c r="X71" s="1263"/>
      <c r="Y71" s="1263"/>
      <c r="Z71" s="1263"/>
      <c r="AA71" s="1263"/>
      <c r="AB71" s="1263"/>
      <c r="AC71" s="1263"/>
      <c r="AD71" s="1263"/>
      <c r="AE71" s="1263"/>
      <c r="AF71" s="1263"/>
      <c r="AG71" s="1263"/>
      <c r="AH71" s="1263"/>
      <c r="AI71" s="1263"/>
      <c r="AJ71" s="1263"/>
      <c r="AK71" s="1263"/>
    </row>
    <row r="72" spans="1:37">
      <c r="A72" s="4"/>
      <c r="C72" s="2"/>
      <c r="D72" s="4"/>
      <c r="E72" s="4"/>
      <c r="F72" s="8" t="s">
        <v>509</v>
      </c>
      <c r="G72" s="1263" t="s">
        <v>1168</v>
      </c>
      <c r="H72" s="1263"/>
      <c r="I72" s="1263"/>
      <c r="J72" s="1263"/>
      <c r="K72" s="1263"/>
      <c r="L72" s="1263"/>
      <c r="M72" s="1263"/>
      <c r="N72" s="1263"/>
      <c r="O72" s="1263"/>
      <c r="P72" s="1263"/>
      <c r="Q72" s="1263"/>
      <c r="R72" s="1263"/>
      <c r="S72" s="1263"/>
      <c r="T72" s="1263"/>
      <c r="U72" s="1263"/>
      <c r="V72" s="1263"/>
      <c r="W72" s="1263"/>
      <c r="X72" s="1263"/>
      <c r="Y72" s="1263"/>
      <c r="Z72" s="1263"/>
      <c r="AA72" s="1263"/>
      <c r="AB72" s="1263"/>
      <c r="AC72" s="1263"/>
      <c r="AD72" s="1263"/>
      <c r="AE72" s="1263"/>
      <c r="AF72" s="1263"/>
      <c r="AG72" s="1263"/>
      <c r="AH72" s="1263"/>
      <c r="AI72" s="1263"/>
      <c r="AJ72" s="1263"/>
      <c r="AK72" s="1263"/>
    </row>
    <row r="73" spans="1:37">
      <c r="A73" s="4"/>
      <c r="C73" s="2"/>
      <c r="D73" s="4"/>
      <c r="E73" s="4"/>
      <c r="F73" s="8"/>
      <c r="G73" s="1263"/>
      <c r="H73" s="1263"/>
      <c r="I73" s="1263"/>
      <c r="J73" s="1263"/>
      <c r="K73" s="1263"/>
      <c r="L73" s="1263"/>
      <c r="M73" s="1263"/>
      <c r="N73" s="1263"/>
      <c r="O73" s="1263"/>
      <c r="P73" s="1263"/>
      <c r="Q73" s="1263"/>
      <c r="R73" s="1263"/>
      <c r="S73" s="1263"/>
      <c r="T73" s="1263"/>
      <c r="U73" s="1263"/>
      <c r="V73" s="1263"/>
      <c r="W73" s="1263"/>
      <c r="X73" s="1263"/>
      <c r="Y73" s="1263"/>
      <c r="Z73" s="1263"/>
      <c r="AA73" s="1263"/>
      <c r="AB73" s="1263"/>
      <c r="AC73" s="1263"/>
      <c r="AD73" s="1263"/>
      <c r="AE73" s="1263"/>
      <c r="AF73" s="1263"/>
      <c r="AG73" s="1263"/>
      <c r="AH73" s="1263"/>
      <c r="AI73" s="1263"/>
      <c r="AJ73" s="1263"/>
      <c r="AK73" s="1263"/>
    </row>
    <row r="74" spans="1:37">
      <c r="A74" s="4"/>
      <c r="C74" s="2"/>
      <c r="D74" s="4"/>
      <c r="E74" s="4"/>
      <c r="F74" s="8"/>
      <c r="G74" s="120" t="s">
        <v>750</v>
      </c>
      <c r="H74" s="4"/>
      <c r="J74" s="120"/>
      <c r="K74" s="120"/>
      <c r="L74" s="120"/>
      <c r="P74" s="4"/>
      <c r="Q74" s="4"/>
      <c r="R74" s="4"/>
      <c r="S74" s="4"/>
      <c r="T74" s="4"/>
      <c r="U74" s="4"/>
      <c r="V74" s="4"/>
      <c r="W74" s="4"/>
      <c r="X74" s="4"/>
      <c r="Y74" s="4"/>
      <c r="Z74" s="4"/>
      <c r="AA74" s="4"/>
      <c r="AB74" s="4"/>
    </row>
    <row r="75" spans="1:37">
      <c r="A75" s="4"/>
      <c r="C75" s="2"/>
      <c r="D75" s="4"/>
      <c r="E75" s="4"/>
      <c r="F75" s="8"/>
      <c r="G75" s="120" t="s">
        <v>864</v>
      </c>
      <c r="J75" s="120"/>
      <c r="K75" s="120"/>
      <c r="L75" s="120"/>
      <c r="P75" s="4"/>
      <c r="Q75" s="4"/>
      <c r="R75" s="4"/>
      <c r="S75" s="4"/>
      <c r="T75" s="4"/>
      <c r="U75" s="4"/>
      <c r="V75" s="4"/>
      <c r="W75" s="4"/>
      <c r="X75" s="4"/>
      <c r="Y75" s="4"/>
      <c r="Z75" s="4"/>
      <c r="AA75" s="4"/>
      <c r="AB75" s="4"/>
    </row>
    <row r="76" spans="1:37">
      <c r="A76" s="4"/>
      <c r="C76" s="2"/>
      <c r="D76" s="4"/>
      <c r="E76" s="4"/>
      <c r="F76" s="8" t="s">
        <v>277</v>
      </c>
      <c r="G76" s="4" t="s">
        <v>1013</v>
      </c>
      <c r="H76" s="4"/>
      <c r="I76" s="4"/>
      <c r="K76" s="4"/>
      <c r="L76" s="4"/>
      <c r="M76" s="4"/>
      <c r="P76" s="4"/>
      <c r="Q76" s="4"/>
      <c r="R76" s="4"/>
      <c r="S76" s="4"/>
      <c r="T76" s="4"/>
      <c r="U76" s="4"/>
      <c r="V76" s="4"/>
      <c r="W76" s="4"/>
      <c r="X76" s="4"/>
      <c r="Y76" s="4"/>
      <c r="Z76" s="4"/>
      <c r="AA76" s="4"/>
      <c r="AB76" s="4"/>
    </row>
    <row r="77" spans="1:37">
      <c r="A77" s="4"/>
      <c r="C77" s="2"/>
      <c r="D77" s="4"/>
      <c r="E77" s="4"/>
      <c r="F77" s="4"/>
      <c r="G77" s="4" t="s">
        <v>507</v>
      </c>
      <c r="H77" s="4" t="s">
        <v>865</v>
      </c>
      <c r="K77" s="4"/>
      <c r="L77" s="4"/>
      <c r="M77" s="4"/>
      <c r="P77" s="4"/>
      <c r="Q77" s="4"/>
      <c r="R77" s="4"/>
      <c r="S77" s="4"/>
      <c r="T77" s="4"/>
      <c r="U77" s="4"/>
      <c r="V77" s="4"/>
      <c r="W77" s="4"/>
      <c r="X77" s="4"/>
      <c r="Y77" s="4"/>
      <c r="Z77" s="4"/>
      <c r="AA77" s="4"/>
      <c r="AB77" s="4"/>
    </row>
    <row r="78" spans="1:37">
      <c r="A78" s="4"/>
      <c r="C78" s="2"/>
      <c r="D78" s="4"/>
      <c r="E78" s="4"/>
      <c r="F78" s="4"/>
      <c r="G78" s="4" t="s">
        <v>757</v>
      </c>
      <c r="H78" s="4" t="s">
        <v>753</v>
      </c>
      <c r="K78" s="4"/>
      <c r="L78" s="4"/>
      <c r="M78" s="4"/>
      <c r="P78" s="4"/>
      <c r="Q78" s="4"/>
      <c r="R78" s="4"/>
      <c r="S78" s="4"/>
      <c r="T78" s="4"/>
      <c r="U78" s="4"/>
      <c r="V78" s="4"/>
      <c r="W78" s="4"/>
      <c r="X78" s="4"/>
      <c r="Y78" s="4"/>
      <c r="Z78" s="4"/>
      <c r="AA78" s="4"/>
      <c r="AB78" s="4"/>
    </row>
    <row r="79" spans="1:37">
      <c r="A79" s="4"/>
      <c r="C79" s="2"/>
      <c r="D79" s="4"/>
      <c r="E79" s="4" t="s">
        <v>348</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3" t="s">
        <v>1169</v>
      </c>
      <c r="H80" s="1263"/>
      <c r="I80" s="1263"/>
      <c r="J80" s="1263"/>
      <c r="K80" s="1263"/>
      <c r="L80" s="1263"/>
      <c r="M80" s="1263"/>
      <c r="N80" s="1263"/>
      <c r="O80" s="1263"/>
      <c r="P80" s="1263"/>
      <c r="Q80" s="1263"/>
      <c r="R80" s="1263"/>
      <c r="S80" s="1263"/>
      <c r="T80" s="1263"/>
      <c r="U80" s="1263"/>
      <c r="V80" s="1263"/>
      <c r="W80" s="1263"/>
      <c r="X80" s="1263"/>
      <c r="Y80" s="1263"/>
      <c r="Z80" s="1263"/>
      <c r="AA80" s="1263"/>
      <c r="AB80" s="1263"/>
      <c r="AC80" s="1263"/>
      <c r="AD80" s="1263"/>
      <c r="AE80" s="1263"/>
      <c r="AF80" s="1263"/>
      <c r="AG80" s="1263"/>
      <c r="AH80" s="1263"/>
      <c r="AI80" s="1263"/>
      <c r="AJ80" s="1263"/>
      <c r="AK80" s="1263"/>
    </row>
    <row r="81" spans="1:37">
      <c r="A81" s="4"/>
      <c r="C81" s="2"/>
      <c r="D81" s="4"/>
      <c r="E81" s="4"/>
      <c r="F81" s="4"/>
      <c r="G81" s="1263"/>
      <c r="H81" s="1263"/>
      <c r="I81" s="1263"/>
      <c r="J81" s="1263"/>
      <c r="K81" s="1263"/>
      <c r="L81" s="1263"/>
      <c r="M81" s="1263"/>
      <c r="N81" s="1263"/>
      <c r="O81" s="1263"/>
      <c r="P81" s="1263"/>
      <c r="Q81" s="1263"/>
      <c r="R81" s="1263"/>
      <c r="S81" s="1263"/>
      <c r="T81" s="1263"/>
      <c r="U81" s="1263"/>
      <c r="V81" s="1263"/>
      <c r="W81" s="1263"/>
      <c r="X81" s="1263"/>
      <c r="Y81" s="1263"/>
      <c r="Z81" s="1263"/>
      <c r="AA81" s="1263"/>
      <c r="AB81" s="1263"/>
      <c r="AC81" s="1263"/>
      <c r="AD81" s="1263"/>
      <c r="AE81" s="1263"/>
      <c r="AF81" s="1263"/>
      <c r="AG81" s="1263"/>
      <c r="AH81" s="1263"/>
      <c r="AI81" s="1263"/>
      <c r="AJ81" s="1263"/>
      <c r="AK81" s="1263"/>
    </row>
    <row r="82" spans="1:37">
      <c r="A82" s="4"/>
      <c r="C82" s="2"/>
      <c r="D82" s="4"/>
      <c r="E82" s="4"/>
      <c r="F82" s="4"/>
      <c r="G82" s="1263"/>
      <c r="H82" s="1263"/>
      <c r="I82" s="1263"/>
      <c r="J82" s="1263"/>
      <c r="K82" s="1263"/>
      <c r="L82" s="1263"/>
      <c r="M82" s="1263"/>
      <c r="N82" s="1263"/>
      <c r="O82" s="1263"/>
      <c r="P82" s="1263"/>
      <c r="Q82" s="1263"/>
      <c r="R82" s="1263"/>
      <c r="S82" s="1263"/>
      <c r="T82" s="1263"/>
      <c r="U82" s="1263"/>
      <c r="V82" s="1263"/>
      <c r="W82" s="1263"/>
      <c r="X82" s="1263"/>
      <c r="Y82" s="1263"/>
      <c r="Z82" s="1263"/>
      <c r="AA82" s="1263"/>
      <c r="AB82" s="1263"/>
      <c r="AC82" s="1263"/>
      <c r="AD82" s="1263"/>
      <c r="AE82" s="1263"/>
      <c r="AF82" s="1263"/>
      <c r="AG82" s="1263"/>
      <c r="AH82" s="1263"/>
      <c r="AI82" s="1263"/>
      <c r="AJ82" s="1263"/>
      <c r="AK82" s="1263"/>
    </row>
    <row r="83" spans="1:37">
      <c r="A83" s="4"/>
      <c r="C83" s="2"/>
      <c r="D83" s="4"/>
      <c r="E83" s="4" t="s">
        <v>444</v>
      </c>
      <c r="F83" s="4" t="s">
        <v>616</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3" t="s">
        <v>1170</v>
      </c>
      <c r="H84" s="1263"/>
      <c r="I84" s="1263"/>
      <c r="J84" s="1263"/>
      <c r="K84" s="1263"/>
      <c r="L84" s="1263"/>
      <c r="M84" s="1263"/>
      <c r="N84" s="1263"/>
      <c r="O84" s="1263"/>
      <c r="P84" s="1263"/>
      <c r="Q84" s="1263"/>
      <c r="R84" s="1263"/>
      <c r="S84" s="1263"/>
      <c r="T84" s="1263"/>
      <c r="U84" s="1263"/>
      <c r="V84" s="1263"/>
      <c r="W84" s="1263"/>
      <c r="X84" s="1263"/>
      <c r="Y84" s="1263"/>
      <c r="Z84" s="1263"/>
      <c r="AA84" s="1263"/>
      <c r="AB84" s="1263"/>
      <c r="AC84" s="1263"/>
      <c r="AD84" s="1263"/>
      <c r="AE84" s="1263"/>
      <c r="AF84" s="1263"/>
      <c r="AG84" s="1263"/>
      <c r="AH84" s="1263"/>
      <c r="AI84" s="1263"/>
      <c r="AJ84" s="1263"/>
      <c r="AK84" s="1263"/>
    </row>
    <row r="85" spans="1:37">
      <c r="A85" s="4"/>
      <c r="C85" s="2"/>
      <c r="D85" s="4"/>
      <c r="E85" s="4"/>
      <c r="F85" s="4"/>
      <c r="G85" s="1263"/>
      <c r="H85" s="1263"/>
      <c r="I85" s="1263"/>
      <c r="J85" s="1263"/>
      <c r="K85" s="1263"/>
      <c r="L85" s="1263"/>
      <c r="M85" s="1263"/>
      <c r="N85" s="1263"/>
      <c r="O85" s="1263"/>
      <c r="P85" s="1263"/>
      <c r="Q85" s="1263"/>
      <c r="R85" s="1263"/>
      <c r="S85" s="1263"/>
      <c r="T85" s="1263"/>
      <c r="U85" s="1263"/>
      <c r="V85" s="1263"/>
      <c r="W85" s="1263"/>
      <c r="X85" s="1263"/>
      <c r="Y85" s="1263"/>
      <c r="Z85" s="1263"/>
      <c r="AA85" s="1263"/>
      <c r="AB85" s="1263"/>
      <c r="AC85" s="1263"/>
      <c r="AD85" s="1263"/>
      <c r="AE85" s="1263"/>
      <c r="AF85" s="1263"/>
      <c r="AG85" s="1263"/>
      <c r="AH85" s="1263"/>
      <c r="AI85" s="1263"/>
      <c r="AJ85" s="1263"/>
      <c r="AK85" s="1263"/>
    </row>
    <row r="86" spans="1:37">
      <c r="A86" s="4"/>
      <c r="C86" s="2"/>
      <c r="D86" s="4"/>
      <c r="E86" s="4"/>
      <c r="G86" s="1263"/>
      <c r="H86" s="1263"/>
      <c r="I86" s="1263"/>
      <c r="J86" s="1263"/>
      <c r="K86" s="1263"/>
      <c r="L86" s="1263"/>
      <c r="M86" s="1263"/>
      <c r="N86" s="1263"/>
      <c r="O86" s="1263"/>
      <c r="P86" s="1263"/>
      <c r="Q86" s="1263"/>
      <c r="R86" s="1263"/>
      <c r="S86" s="1263"/>
      <c r="T86" s="1263"/>
      <c r="U86" s="1263"/>
      <c r="V86" s="1263"/>
      <c r="W86" s="1263"/>
      <c r="X86" s="1263"/>
      <c r="Y86" s="1263"/>
      <c r="Z86" s="1263"/>
      <c r="AA86" s="1263"/>
      <c r="AB86" s="1263"/>
      <c r="AC86" s="1263"/>
      <c r="AD86" s="1263"/>
      <c r="AE86" s="1263"/>
      <c r="AF86" s="1263"/>
      <c r="AG86" s="1263"/>
      <c r="AH86" s="1263"/>
      <c r="AI86" s="1263"/>
      <c r="AJ86" s="1263"/>
      <c r="AK86" s="1263"/>
    </row>
    <row r="87" spans="1:37">
      <c r="A87" s="4"/>
      <c r="C87" s="2"/>
      <c r="D87" s="4"/>
      <c r="E87" s="4" t="s">
        <v>261</v>
      </c>
      <c r="F87" t="s">
        <v>866</v>
      </c>
      <c r="G87" s="4"/>
      <c r="L87" s="4"/>
      <c r="M87" s="4"/>
      <c r="P87" s="4"/>
      <c r="Q87" s="4"/>
      <c r="R87" s="4"/>
      <c r="S87" s="4"/>
      <c r="T87" s="4"/>
      <c r="U87" s="4"/>
      <c r="V87" s="4"/>
      <c r="W87" s="4"/>
      <c r="X87" s="4"/>
      <c r="Y87" s="4"/>
      <c r="Z87" s="4"/>
      <c r="AA87" s="4"/>
      <c r="AB87" s="4"/>
    </row>
    <row r="88" spans="1:37">
      <c r="A88" s="4"/>
      <c r="C88" s="2"/>
      <c r="D88" s="4"/>
      <c r="E88" s="4"/>
      <c r="G88" s="1273" t="s">
        <v>1171</v>
      </c>
      <c r="H88" s="1273"/>
      <c r="I88" s="1273"/>
      <c r="J88" s="1273"/>
      <c r="K88" s="1273"/>
      <c r="L88" s="1273"/>
      <c r="M88" s="1273"/>
      <c r="N88" s="1273"/>
      <c r="O88" s="1273"/>
      <c r="P88" s="1273"/>
      <c r="Q88" s="1273"/>
      <c r="R88" s="1273"/>
      <c r="S88" s="1273"/>
      <c r="T88" s="1273"/>
      <c r="U88" s="1273"/>
      <c r="V88" s="1273"/>
      <c r="W88" s="1273"/>
      <c r="X88" s="1273"/>
      <c r="Y88" s="1273"/>
      <c r="Z88" s="1273"/>
      <c r="AA88" s="1273"/>
      <c r="AB88" s="1273"/>
      <c r="AC88" s="1273"/>
      <c r="AD88" s="1273"/>
      <c r="AE88" s="1273"/>
      <c r="AF88" s="1273"/>
      <c r="AG88" s="1273"/>
      <c r="AH88" s="1273"/>
      <c r="AI88" s="1273"/>
      <c r="AJ88" s="1273"/>
      <c r="AK88" s="1273"/>
    </row>
    <row r="89" spans="1:37">
      <c r="A89" s="4"/>
      <c r="C89" s="2"/>
      <c r="D89" s="4"/>
      <c r="E89" s="4"/>
      <c r="G89" s="1273"/>
      <c r="H89" s="1273"/>
      <c r="I89" s="1273"/>
      <c r="J89" s="1273"/>
      <c r="K89" s="1273"/>
      <c r="L89" s="1273"/>
      <c r="M89" s="1273"/>
      <c r="N89" s="1273"/>
      <c r="O89" s="1273"/>
      <c r="P89" s="1273"/>
      <c r="Q89" s="1273"/>
      <c r="R89" s="1273"/>
      <c r="S89" s="1273"/>
      <c r="T89" s="1273"/>
      <c r="U89" s="1273"/>
      <c r="V89" s="1273"/>
      <c r="W89" s="1273"/>
      <c r="X89" s="1273"/>
      <c r="Y89" s="1273"/>
      <c r="Z89" s="1273"/>
      <c r="AA89" s="1273"/>
      <c r="AB89" s="1273"/>
      <c r="AC89" s="1273"/>
      <c r="AD89" s="1273"/>
      <c r="AE89" s="1273"/>
      <c r="AF89" s="1273"/>
      <c r="AG89" s="1273"/>
      <c r="AH89" s="1273"/>
      <c r="AI89" s="1273"/>
      <c r="AJ89" s="1273"/>
      <c r="AK89" s="1273"/>
    </row>
    <row r="90" spans="1:37">
      <c r="A90" s="4"/>
      <c r="C90" s="2"/>
      <c r="D90" s="4"/>
      <c r="E90" s="4"/>
      <c r="G90" s="1273"/>
      <c r="H90" s="1273"/>
      <c r="I90" s="1273"/>
      <c r="J90" s="1273"/>
      <c r="K90" s="1273"/>
      <c r="L90" s="1273"/>
      <c r="M90" s="1273"/>
      <c r="N90" s="1273"/>
      <c r="O90" s="1273"/>
      <c r="P90" s="1273"/>
      <c r="Q90" s="1273"/>
      <c r="R90" s="1273"/>
      <c r="S90" s="1273"/>
      <c r="T90" s="1273"/>
      <c r="U90" s="1273"/>
      <c r="V90" s="1273"/>
      <c r="W90" s="1273"/>
      <c r="X90" s="1273"/>
      <c r="Y90" s="1273"/>
      <c r="Z90" s="1273"/>
      <c r="AA90" s="1273"/>
      <c r="AB90" s="1273"/>
      <c r="AC90" s="1273"/>
      <c r="AD90" s="1273"/>
      <c r="AE90" s="1273"/>
      <c r="AF90" s="1273"/>
      <c r="AG90" s="1273"/>
      <c r="AH90" s="1273"/>
      <c r="AI90" s="1273"/>
      <c r="AJ90" s="1273"/>
      <c r="AK90" s="1273"/>
    </row>
    <row r="91" spans="1:37">
      <c r="A91" s="4"/>
      <c r="C91" s="2"/>
      <c r="D91" s="4"/>
      <c r="E91" s="4" t="s">
        <v>262</v>
      </c>
      <c r="F91" s="4" t="s">
        <v>516</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3" t="s">
        <v>1172</v>
      </c>
      <c r="H92" s="1263"/>
      <c r="I92" s="1263"/>
      <c r="J92" s="1263"/>
      <c r="K92" s="1263"/>
      <c r="L92" s="1263"/>
      <c r="M92" s="1263"/>
      <c r="N92" s="1263"/>
      <c r="O92" s="1263"/>
      <c r="P92" s="1263"/>
      <c r="Q92" s="1263"/>
      <c r="R92" s="1263"/>
      <c r="S92" s="1263"/>
      <c r="T92" s="1263"/>
      <c r="U92" s="1263"/>
      <c r="V92" s="1263"/>
      <c r="W92" s="1263"/>
      <c r="X92" s="1263"/>
      <c r="Y92" s="1263"/>
      <c r="Z92" s="1263"/>
      <c r="AA92" s="1263"/>
      <c r="AB92" s="1263"/>
      <c r="AC92" s="1263"/>
      <c r="AD92" s="1263"/>
      <c r="AE92" s="1263"/>
      <c r="AF92" s="1263"/>
      <c r="AG92" s="1263"/>
      <c r="AH92" s="1263"/>
      <c r="AI92" s="1263"/>
      <c r="AJ92" s="1263"/>
      <c r="AK92" s="1263"/>
    </row>
    <row r="93" spans="1:37">
      <c r="A93" s="4"/>
      <c r="C93" s="2"/>
      <c r="D93" s="4"/>
      <c r="E93" s="4"/>
      <c r="G93" s="1263"/>
      <c r="H93" s="1263"/>
      <c r="I93" s="1263"/>
      <c r="J93" s="1263"/>
      <c r="K93" s="1263"/>
      <c r="L93" s="1263"/>
      <c r="M93" s="1263"/>
      <c r="N93" s="1263"/>
      <c r="O93" s="1263"/>
      <c r="P93" s="1263"/>
      <c r="Q93" s="1263"/>
      <c r="R93" s="1263"/>
      <c r="S93" s="1263"/>
      <c r="T93" s="1263"/>
      <c r="U93" s="1263"/>
      <c r="V93" s="1263"/>
      <c r="W93" s="1263"/>
      <c r="X93" s="1263"/>
      <c r="Y93" s="1263"/>
      <c r="Z93" s="1263"/>
      <c r="AA93" s="1263"/>
      <c r="AB93" s="1263"/>
      <c r="AC93" s="1263"/>
      <c r="AD93" s="1263"/>
      <c r="AE93" s="1263"/>
      <c r="AF93" s="1263"/>
      <c r="AG93" s="1263"/>
      <c r="AH93" s="1263"/>
      <c r="AI93" s="1263"/>
      <c r="AJ93" s="1263"/>
      <c r="AK93" s="1263"/>
    </row>
    <row r="94" spans="1:37">
      <c r="A94" s="4"/>
      <c r="C94" s="2"/>
      <c r="D94" s="4"/>
      <c r="E94" s="4" t="s">
        <v>904</v>
      </c>
      <c r="F94" s="204" t="s">
        <v>905</v>
      </c>
      <c r="G94" s="204"/>
      <c r="L94" s="4"/>
      <c r="M94" s="4"/>
      <c r="P94" s="4"/>
      <c r="Q94" s="4"/>
      <c r="R94" s="4"/>
      <c r="S94" s="4"/>
      <c r="T94" s="4"/>
      <c r="U94" s="4"/>
      <c r="V94" s="4"/>
      <c r="W94" s="4"/>
      <c r="X94" s="4"/>
      <c r="Y94" s="4"/>
      <c r="Z94" s="4"/>
      <c r="AA94" s="4"/>
      <c r="AB94" s="4"/>
    </row>
    <row r="95" spans="1:37">
      <c r="A95" s="4"/>
      <c r="C95" s="2"/>
      <c r="D95" s="4"/>
      <c r="E95" s="4"/>
      <c r="G95" s="1263" t="s">
        <v>1173</v>
      </c>
      <c r="H95" s="1263"/>
      <c r="I95" s="1263"/>
      <c r="J95" s="1263"/>
      <c r="K95" s="1263"/>
      <c r="L95" s="1263"/>
      <c r="M95" s="1263"/>
      <c r="N95" s="1263"/>
      <c r="O95" s="1263"/>
      <c r="P95" s="1263"/>
      <c r="Q95" s="1263"/>
      <c r="R95" s="1263"/>
      <c r="S95" s="1263"/>
      <c r="T95" s="1263"/>
      <c r="U95" s="1263"/>
      <c r="V95" s="1263"/>
      <c r="W95" s="1263"/>
      <c r="X95" s="1263"/>
      <c r="Y95" s="1263"/>
      <c r="Z95" s="1263"/>
      <c r="AA95" s="1263"/>
      <c r="AB95" s="1263"/>
      <c r="AC95" s="1263"/>
      <c r="AD95" s="1263"/>
      <c r="AE95" s="1263"/>
      <c r="AF95" s="1263"/>
      <c r="AG95" s="1263"/>
      <c r="AH95" s="1263"/>
      <c r="AI95" s="1263"/>
      <c r="AJ95" s="1263"/>
      <c r="AK95" s="1263"/>
    </row>
    <row r="96" spans="1:37">
      <c r="A96" s="4"/>
      <c r="C96" s="2"/>
      <c r="D96" s="4"/>
      <c r="E96" s="4"/>
      <c r="G96" s="1263"/>
      <c r="H96" s="1263"/>
      <c r="I96" s="1263"/>
      <c r="J96" s="1263"/>
      <c r="K96" s="1263"/>
      <c r="L96" s="1263"/>
      <c r="M96" s="1263"/>
      <c r="N96" s="1263"/>
      <c r="O96" s="1263"/>
      <c r="P96" s="1263"/>
      <c r="Q96" s="1263"/>
      <c r="R96" s="1263"/>
      <c r="S96" s="1263"/>
      <c r="T96" s="1263"/>
      <c r="U96" s="1263"/>
      <c r="V96" s="1263"/>
      <c r="W96" s="1263"/>
      <c r="X96" s="1263"/>
      <c r="Y96" s="1263"/>
      <c r="Z96" s="1263"/>
      <c r="AA96" s="1263"/>
      <c r="AB96" s="1263"/>
      <c r="AC96" s="1263"/>
      <c r="AD96" s="1263"/>
      <c r="AE96" s="1263"/>
      <c r="AF96" s="1263"/>
      <c r="AG96" s="1263"/>
      <c r="AH96" s="1263"/>
      <c r="AI96" s="1263"/>
      <c r="AJ96" s="1263"/>
      <c r="AK96" s="1263"/>
    </row>
    <row r="97" spans="1:38">
      <c r="A97" s="4"/>
      <c r="C97" s="2"/>
      <c r="D97" s="4"/>
      <c r="E97" s="4"/>
      <c r="G97" s="1263"/>
      <c r="H97" s="1263"/>
      <c r="I97" s="1263"/>
      <c r="J97" s="1263"/>
      <c r="K97" s="1263"/>
      <c r="L97" s="1263"/>
      <c r="M97" s="1263"/>
      <c r="N97" s="1263"/>
      <c r="O97" s="1263"/>
      <c r="P97" s="1263"/>
      <c r="Q97" s="1263"/>
      <c r="R97" s="1263"/>
      <c r="S97" s="1263"/>
      <c r="T97" s="1263"/>
      <c r="U97" s="1263"/>
      <c r="V97" s="1263"/>
      <c r="W97" s="1263"/>
      <c r="X97" s="1263"/>
      <c r="Y97" s="1263"/>
      <c r="Z97" s="1263"/>
      <c r="AA97" s="1263"/>
      <c r="AB97" s="1263"/>
      <c r="AC97" s="1263"/>
      <c r="AD97" s="1263"/>
      <c r="AE97" s="1263"/>
      <c r="AF97" s="1263"/>
      <c r="AG97" s="1263"/>
      <c r="AH97" s="1263"/>
      <c r="AI97" s="1263"/>
      <c r="AJ97" s="1263"/>
      <c r="AK97" s="1263"/>
    </row>
    <row r="98" spans="1:38">
      <c r="A98" s="4"/>
      <c r="D98" s="99"/>
      <c r="E98" s="1274" t="s">
        <v>1174</v>
      </c>
      <c r="F98" s="1274"/>
      <c r="G98" s="1274"/>
      <c r="H98" s="1274"/>
      <c r="I98" s="1274"/>
      <c r="J98" s="1274"/>
      <c r="K98" s="1274"/>
      <c r="L98" s="1274"/>
      <c r="M98" s="1274"/>
      <c r="N98" s="1274"/>
      <c r="O98" s="1274"/>
      <c r="P98" s="1274"/>
      <c r="Q98" s="1274"/>
      <c r="R98" s="1274"/>
      <c r="S98" s="1274"/>
      <c r="T98" s="1274"/>
      <c r="U98" s="1274"/>
      <c r="V98" s="1274"/>
      <c r="W98" s="1274"/>
      <c r="X98" s="1274"/>
      <c r="Y98" s="1274"/>
      <c r="Z98" s="1274"/>
      <c r="AA98" s="1274"/>
      <c r="AB98" s="1274"/>
      <c r="AC98" s="1274"/>
      <c r="AD98" s="1274"/>
      <c r="AE98" s="1274"/>
      <c r="AF98" s="1274"/>
      <c r="AG98" s="1274"/>
      <c r="AH98" s="1274"/>
      <c r="AI98" s="1274"/>
      <c r="AJ98" s="1274"/>
      <c r="AK98" s="1274"/>
    </row>
    <row r="99" spans="1:38">
      <c r="A99" s="4"/>
      <c r="D99" s="99"/>
      <c r="E99" s="1274"/>
      <c r="F99" s="1274"/>
      <c r="G99" s="1274"/>
      <c r="H99" s="1274"/>
      <c r="I99" s="1274"/>
      <c r="J99" s="1274"/>
      <c r="K99" s="1274"/>
      <c r="L99" s="1274"/>
      <c r="M99" s="1274"/>
      <c r="N99" s="1274"/>
      <c r="O99" s="1274"/>
      <c r="P99" s="1274"/>
      <c r="Q99" s="1274"/>
      <c r="R99" s="1274"/>
      <c r="S99" s="1274"/>
      <c r="T99" s="1274"/>
      <c r="U99" s="1274"/>
      <c r="V99" s="1274"/>
      <c r="W99" s="1274"/>
      <c r="X99" s="1274"/>
      <c r="Y99" s="1274"/>
      <c r="Z99" s="1274"/>
      <c r="AA99" s="1274"/>
      <c r="AB99" s="1274"/>
      <c r="AC99" s="1274"/>
      <c r="AD99" s="1274"/>
      <c r="AE99" s="1274"/>
      <c r="AF99" s="1274"/>
      <c r="AG99" s="1274"/>
      <c r="AH99" s="1274"/>
      <c r="AI99" s="1274"/>
      <c r="AJ99" s="1274"/>
      <c r="AK99" s="1274"/>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339</v>
      </c>
      <c r="C101" s="11" t="s">
        <v>420</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429</v>
      </c>
      <c r="E103" s="2"/>
      <c r="F103" s="2"/>
      <c r="G103" s="2" t="s">
        <v>1185</v>
      </c>
      <c r="H103" s="2"/>
      <c r="I103" s="2"/>
      <c r="K103" s="2"/>
    </row>
    <row r="104" spans="1:38">
      <c r="B104" s="2"/>
      <c r="C104" s="2"/>
      <c r="D104" s="2" t="s">
        <v>206</v>
      </c>
      <c r="E104" s="2" t="s">
        <v>1187</v>
      </c>
      <c r="F104" s="2"/>
      <c r="G104" s="2"/>
      <c r="H104" s="2"/>
      <c r="I104" s="2"/>
      <c r="J104" s="2"/>
      <c r="K104" s="2"/>
      <c r="L104" s="2"/>
      <c r="M104" s="2"/>
    </row>
    <row r="105" spans="1:38">
      <c r="B105" s="2"/>
      <c r="C105" s="2"/>
      <c r="E105" s="4" t="s">
        <v>112</v>
      </c>
      <c r="F105" s="98" t="s">
        <v>652</v>
      </c>
      <c r="G105" s="2"/>
      <c r="H105" s="2"/>
      <c r="I105" s="2"/>
      <c r="J105" s="2"/>
      <c r="K105" s="2"/>
    </row>
    <row r="106" spans="1:38">
      <c r="E106" s="4"/>
      <c r="F106" t="s">
        <v>654</v>
      </c>
    </row>
    <row r="107" spans="1:38">
      <c r="E107" s="4"/>
      <c r="F107" t="s">
        <v>655</v>
      </c>
    </row>
    <row r="108" spans="1:38">
      <c r="E108" s="4"/>
    </row>
    <row r="109" spans="1:38">
      <c r="E109" s="4" t="s">
        <v>113</v>
      </c>
      <c r="F109" s="98" t="s">
        <v>656</v>
      </c>
      <c r="G109" s="2"/>
      <c r="H109" s="2"/>
      <c r="I109" s="2"/>
      <c r="J109" s="2"/>
    </row>
    <row r="110" spans="1:38">
      <c r="E110" s="4"/>
      <c r="F110" t="s">
        <v>657</v>
      </c>
    </row>
    <row r="111" spans="1:38">
      <c r="E111" s="4"/>
    </row>
    <row r="112" spans="1:38">
      <c r="E112" s="4" t="s">
        <v>119</v>
      </c>
      <c r="F112" s="98" t="s">
        <v>658</v>
      </c>
      <c r="G112" s="2"/>
      <c r="H112" s="2"/>
      <c r="I112" s="2"/>
      <c r="J112" s="2"/>
      <c r="K112" s="2"/>
      <c r="L112" s="2"/>
      <c r="M112" s="2"/>
      <c r="N112" s="2"/>
      <c r="O112" s="2"/>
      <c r="P112" s="2"/>
    </row>
    <row r="113" spans="2:10">
      <c r="E113" s="4"/>
      <c r="F113" s="4" t="s">
        <v>921</v>
      </c>
    </row>
    <row r="114" spans="2:10" ht="12.75" customHeight="1">
      <c r="F114" s="4" t="s">
        <v>951</v>
      </c>
    </row>
    <row r="115" spans="2:10"/>
    <row r="116" spans="2:10">
      <c r="E116" t="s">
        <v>581</v>
      </c>
      <c r="F116" s="98" t="s">
        <v>922</v>
      </c>
    </row>
    <row r="117" spans="2:10">
      <c r="F117" s="4" t="s">
        <v>1014</v>
      </c>
      <c r="G117" s="4"/>
    </row>
    <row r="118" spans="2:10">
      <c r="F118" s="99" t="s">
        <v>1186</v>
      </c>
      <c r="G118" s="99"/>
    </row>
    <row r="119" spans="2:10">
      <c r="G119" s="99"/>
    </row>
    <row r="120" spans="2:10">
      <c r="E120" s="4" t="s">
        <v>763</v>
      </c>
      <c r="F120" s="98" t="s">
        <v>377</v>
      </c>
    </row>
    <row r="121" spans="2:10">
      <c r="E121" s="4"/>
      <c r="F121" s="4" t="s">
        <v>1006</v>
      </c>
    </row>
    <row r="122" spans="2:10">
      <c r="B122" s="2"/>
      <c r="C122" s="2"/>
      <c r="F122" s="2"/>
    </row>
    <row r="123" spans="2:10">
      <c r="B123" s="2"/>
      <c r="C123" s="2" t="s">
        <v>430</v>
      </c>
      <c r="G123" s="2" t="s">
        <v>378</v>
      </c>
    </row>
    <row r="124" spans="2:10">
      <c r="B124" s="2"/>
      <c r="C124" s="2"/>
      <c r="D124" s="2" t="s">
        <v>206</v>
      </c>
      <c r="E124" s="2" t="s">
        <v>319</v>
      </c>
      <c r="F124" s="2"/>
      <c r="G124" s="2"/>
      <c r="H124" s="2"/>
      <c r="I124" s="2"/>
      <c r="J124" s="2"/>
    </row>
    <row r="125" spans="2:10">
      <c r="B125" s="2"/>
      <c r="C125" s="2"/>
      <c r="E125" s="4" t="s">
        <v>923</v>
      </c>
      <c r="F125" s="4"/>
    </row>
    <row r="126" spans="2:10"/>
    <row r="127" spans="2:10">
      <c r="D127" s="2" t="s">
        <v>340</v>
      </c>
      <c r="E127" s="2" t="s">
        <v>577</v>
      </c>
    </row>
    <row r="128" spans="2:10">
      <c r="E128" s="4" t="s">
        <v>923</v>
      </c>
      <c r="F128" s="4"/>
    </row>
    <row r="129" spans="4:37"/>
    <row r="130" spans="4:37">
      <c r="D130" s="2" t="s">
        <v>574</v>
      </c>
      <c r="E130" s="2" t="s">
        <v>724</v>
      </c>
      <c r="G130" s="2"/>
      <c r="H130" s="2"/>
      <c r="I130" s="2"/>
      <c r="J130" s="2"/>
      <c r="K130" s="2"/>
      <c r="L130" s="2"/>
      <c r="M130" s="2"/>
      <c r="N130" s="2"/>
    </row>
    <row r="131" spans="4:37">
      <c r="D131" s="2"/>
      <c r="E131" s="119" t="s">
        <v>1256</v>
      </c>
      <c r="G131" s="2"/>
      <c r="H131" s="2"/>
      <c r="I131" s="2"/>
      <c r="J131" s="2"/>
      <c r="K131" s="2"/>
      <c r="L131" s="2"/>
      <c r="M131" s="2"/>
      <c r="N131" s="2"/>
    </row>
    <row r="132" spans="4:37" ht="12.75" customHeight="1">
      <c r="E132" s="119" t="s">
        <v>1254</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1255</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514</v>
      </c>
      <c r="E135" s="2" t="s">
        <v>517</v>
      </c>
      <c r="F135" s="2"/>
    </row>
    <row r="136" spans="4:37">
      <c r="E136" s="3" t="s">
        <v>1212</v>
      </c>
      <c r="F136" s="4"/>
    </row>
    <row r="137" spans="4:37">
      <c r="F137" s="4"/>
    </row>
    <row r="138" spans="4:37">
      <c r="D138" s="2" t="s">
        <v>302</v>
      </c>
      <c r="E138" s="2" t="s">
        <v>2041</v>
      </c>
      <c r="F138" s="2"/>
      <c r="G138" s="2"/>
      <c r="H138" s="2"/>
    </row>
    <row r="139" spans="4:37">
      <c r="E139" t="s">
        <v>112</v>
      </c>
      <c r="F139" t="s">
        <v>52</v>
      </c>
    </row>
    <row r="140" spans="4:37">
      <c r="E140" t="s">
        <v>113</v>
      </c>
      <c r="F140" t="s">
        <v>466</v>
      </c>
    </row>
    <row r="141" spans="4:37"/>
    <row r="142" spans="4:37">
      <c r="D142" s="2" t="s">
        <v>428</v>
      </c>
      <c r="E142" s="2" t="s">
        <v>2042</v>
      </c>
    </row>
    <row r="143" spans="4:37">
      <c r="E143" s="204" t="s">
        <v>2043</v>
      </c>
      <c r="F143" s="204"/>
    </row>
    <row r="144" spans="4:37"/>
    <row r="145" spans="3:7">
      <c r="C145" s="2" t="s">
        <v>6</v>
      </c>
      <c r="G145" s="2" t="s">
        <v>379</v>
      </c>
    </row>
    <row r="146" spans="3:7">
      <c r="D146" s="2" t="s">
        <v>206</v>
      </c>
      <c r="E146" s="2" t="s">
        <v>135</v>
      </c>
    </row>
    <row r="147" spans="3:7">
      <c r="E147" t="s">
        <v>797</v>
      </c>
    </row>
    <row r="148" spans="3:7"/>
    <row r="149" spans="3:7">
      <c r="D149" s="2" t="s">
        <v>340</v>
      </c>
      <c r="E149" s="2" t="s">
        <v>524</v>
      </c>
      <c r="F149" s="2"/>
    </row>
    <row r="150" spans="3:7">
      <c r="E150" s="4" t="s">
        <v>925</v>
      </c>
      <c r="F150" s="4"/>
    </row>
    <row r="151" spans="3:7"/>
    <row r="152" spans="3:7">
      <c r="D152" s="2" t="s">
        <v>574</v>
      </c>
      <c r="E152" s="2" t="s">
        <v>553</v>
      </c>
    </row>
    <row r="153" spans="3:7">
      <c r="E153" s="4" t="s">
        <v>926</v>
      </c>
    </row>
    <row r="154" spans="3:7">
      <c r="E154" s="4" t="s">
        <v>924</v>
      </c>
      <c r="G154" s="4"/>
    </row>
    <row r="155" spans="3:7"/>
    <row r="156" spans="3:7">
      <c r="D156" s="2" t="s">
        <v>514</v>
      </c>
      <c r="E156" s="2" t="s">
        <v>533</v>
      </c>
    </row>
    <row r="157" spans="3:7">
      <c r="E157" t="s">
        <v>112</v>
      </c>
      <c r="F157" s="4" t="s">
        <v>927</v>
      </c>
    </row>
    <row r="158" spans="3:7">
      <c r="E158" s="4" t="s">
        <v>113</v>
      </c>
      <c r="F158" s="4" t="s">
        <v>928</v>
      </c>
    </row>
    <row r="159" spans="3:7">
      <c r="E159" s="4" t="s">
        <v>119</v>
      </c>
      <c r="F159" t="s">
        <v>725</v>
      </c>
    </row>
    <row r="160" spans="3:7"/>
    <row r="161" spans="3:20">
      <c r="D161" s="2" t="s">
        <v>302</v>
      </c>
      <c r="E161" s="2" t="s">
        <v>380</v>
      </c>
    </row>
    <row r="162" spans="3:20">
      <c r="E162" s="4" t="s">
        <v>929</v>
      </c>
      <c r="F162" s="4"/>
    </row>
    <row r="163" spans="3:20"/>
    <row r="164" spans="3:20">
      <c r="D164" s="2" t="s">
        <v>428</v>
      </c>
      <c r="E164" s="2" t="s">
        <v>171</v>
      </c>
    </row>
    <row r="165" spans="3:20">
      <c r="E165" s="4" t="s">
        <v>931</v>
      </c>
    </row>
    <row r="166" spans="3:20">
      <c r="E166" s="4" t="s">
        <v>930</v>
      </c>
    </row>
    <row r="167" spans="3:20"/>
    <row r="168" spans="3:20">
      <c r="D168" s="2" t="s">
        <v>557</v>
      </c>
      <c r="E168" s="2" t="s">
        <v>622</v>
      </c>
    </row>
    <row r="169" spans="3:20">
      <c r="E169" t="s">
        <v>112</v>
      </c>
      <c r="F169" t="s">
        <v>726</v>
      </c>
    </row>
    <row r="170" spans="3:20">
      <c r="E170" t="s">
        <v>113</v>
      </c>
      <c r="F170" t="s">
        <v>296</v>
      </c>
    </row>
    <row r="171" spans="3:20">
      <c r="F171" s="4"/>
    </row>
    <row r="172" spans="3:20">
      <c r="C172" s="2" t="s">
        <v>7</v>
      </c>
      <c r="E172" s="4"/>
      <c r="G172" s="2" t="s">
        <v>381</v>
      </c>
    </row>
    <row r="173" spans="3:20">
      <c r="E173" s="4" t="s">
        <v>867</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577</v>
      </c>
    </row>
    <row r="176" spans="3:20">
      <c r="D176" s="2" t="s">
        <v>206</v>
      </c>
      <c r="E176" s="2" t="s">
        <v>297</v>
      </c>
      <c r="G176" s="4"/>
      <c r="H176" s="4"/>
      <c r="I176" s="4"/>
      <c r="J176" s="4"/>
      <c r="K176" s="4"/>
      <c r="L176" s="4"/>
      <c r="M176" s="4"/>
      <c r="N176" s="4"/>
    </row>
    <row r="177" spans="2:19">
      <c r="E177" t="s">
        <v>112</v>
      </c>
      <c r="F177" s="4" t="s">
        <v>932</v>
      </c>
    </row>
    <row r="178" spans="2:19">
      <c r="F178" s="120" t="s">
        <v>1147</v>
      </c>
      <c r="I178" s="120"/>
    </row>
    <row r="179" spans="2:19">
      <c r="I179" s="120"/>
    </row>
    <row r="180" spans="2:19">
      <c r="B180" s="4"/>
      <c r="C180" s="4"/>
      <c r="E180" t="s">
        <v>113</v>
      </c>
      <c r="F180" s="3" t="s">
        <v>868</v>
      </c>
      <c r="H180" s="4"/>
    </row>
    <row r="181" spans="2:19">
      <c r="B181" s="4"/>
      <c r="C181" s="4"/>
      <c r="F181" t="s">
        <v>653</v>
      </c>
      <c r="G181" t="s">
        <v>708</v>
      </c>
      <c r="H181" s="4"/>
      <c r="O181" s="4"/>
      <c r="P181" s="4"/>
      <c r="Q181" s="4"/>
      <c r="R181" s="4"/>
      <c r="S181" s="4"/>
    </row>
    <row r="182" spans="2:19">
      <c r="B182" s="4"/>
      <c r="C182" s="4"/>
      <c r="H182" s="4"/>
      <c r="O182" s="4"/>
      <c r="P182" s="4"/>
      <c r="Q182" s="4"/>
      <c r="R182" s="4"/>
      <c r="S182" s="4"/>
    </row>
    <row r="183" spans="2:19">
      <c r="D183" s="2" t="s">
        <v>340</v>
      </c>
      <c r="E183" s="2" t="s">
        <v>1007</v>
      </c>
    </row>
    <row r="184" spans="2:19">
      <c r="B184" s="4"/>
      <c r="C184" s="4"/>
      <c r="E184" s="4" t="s">
        <v>709</v>
      </c>
      <c r="F184" s="4"/>
      <c r="I184" s="4"/>
    </row>
    <row r="185" spans="2:19">
      <c r="B185" s="4"/>
      <c r="C185" s="4"/>
      <c r="E185" s="4" t="s">
        <v>1005</v>
      </c>
      <c r="F185" s="120"/>
      <c r="G185" s="4"/>
      <c r="I185" s="120"/>
    </row>
    <row r="186" spans="2:19">
      <c r="B186" s="4"/>
      <c r="C186" s="4"/>
      <c r="F186" s="120"/>
      <c r="G186" s="4"/>
      <c r="I186" s="120"/>
    </row>
    <row r="187" spans="2:19">
      <c r="B187" s="4"/>
      <c r="C187" s="4"/>
      <c r="D187" s="2" t="s">
        <v>574</v>
      </c>
      <c r="E187" s="2" t="s">
        <v>3</v>
      </c>
      <c r="F187" s="120"/>
      <c r="G187" s="4"/>
      <c r="I187" s="120"/>
    </row>
    <row r="188" spans="2:19">
      <c r="B188" s="4"/>
      <c r="C188" s="4"/>
      <c r="D188" s="2"/>
      <c r="E188" s="4" t="s">
        <v>298</v>
      </c>
      <c r="F188" s="4"/>
      <c r="G188" s="4"/>
      <c r="I188" s="120"/>
    </row>
    <row r="189" spans="2:19">
      <c r="B189" s="4"/>
      <c r="C189" s="4"/>
      <c r="F189" s="120"/>
      <c r="G189" s="4"/>
      <c r="I189" s="120"/>
    </row>
    <row r="190" spans="2:19">
      <c r="D190" s="2" t="s">
        <v>514</v>
      </c>
      <c r="E190" s="2" t="s">
        <v>111</v>
      </c>
    </row>
    <row r="191" spans="2:19">
      <c r="B191" s="4"/>
      <c r="C191" s="2"/>
      <c r="E191" t="s">
        <v>112</v>
      </c>
      <c r="F191" s="4" t="s">
        <v>1015</v>
      </c>
      <c r="G191" s="4"/>
      <c r="H191" s="4"/>
      <c r="I191" s="4"/>
    </row>
    <row r="192" spans="2:19">
      <c r="B192" s="4"/>
      <c r="C192" s="2"/>
      <c r="F192" s="4" t="s">
        <v>653</v>
      </c>
      <c r="G192" s="3" t="s">
        <v>1206</v>
      </c>
    </row>
    <row r="193" spans="2:37">
      <c r="B193" s="4"/>
      <c r="C193" s="4"/>
      <c r="F193" s="4" t="s">
        <v>347</v>
      </c>
      <c r="G193" s="3" t="s">
        <v>1207</v>
      </c>
      <c r="I193" s="4"/>
      <c r="J193" s="4"/>
      <c r="M193" s="4"/>
      <c r="N193" s="4"/>
      <c r="O193" s="4"/>
      <c r="P193" s="4"/>
      <c r="Q193" s="4"/>
      <c r="R193" s="4"/>
      <c r="S193" s="4"/>
    </row>
    <row r="194" spans="2:37">
      <c r="B194" s="4"/>
      <c r="C194" s="4"/>
      <c r="F194" s="4" t="s">
        <v>348</v>
      </c>
      <c r="G194" s="4" t="s">
        <v>933</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302</v>
      </c>
      <c r="E196" s="2" t="s">
        <v>114</v>
      </c>
      <c r="G196" s="4"/>
      <c r="H196" s="4"/>
      <c r="I196" s="4"/>
      <c r="J196" s="4"/>
      <c r="M196" s="4"/>
      <c r="N196" s="4"/>
      <c r="O196" s="4"/>
      <c r="P196" s="4"/>
      <c r="Q196" s="4"/>
      <c r="R196" s="4"/>
      <c r="S196" s="4"/>
    </row>
    <row r="197" spans="2:37">
      <c r="B197" s="4"/>
      <c r="C197" s="4"/>
      <c r="D197" s="4"/>
      <c r="E197" s="4" t="s">
        <v>934</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428</v>
      </c>
      <c r="E199" s="2" t="s">
        <v>120</v>
      </c>
      <c r="G199" s="4"/>
      <c r="H199" s="4"/>
      <c r="I199" s="4"/>
      <c r="J199" s="4"/>
      <c r="M199" s="4"/>
      <c r="N199" s="4"/>
      <c r="O199" s="4"/>
      <c r="P199" s="4"/>
      <c r="Q199" s="4"/>
      <c r="R199" s="4"/>
      <c r="S199" s="4"/>
    </row>
    <row r="200" spans="2:37">
      <c r="B200" s="4"/>
      <c r="C200" s="4"/>
      <c r="D200" s="2"/>
      <c r="E200" s="4" t="s">
        <v>112</v>
      </c>
      <c r="F200" s="4" t="s">
        <v>935</v>
      </c>
      <c r="M200" s="4"/>
      <c r="N200" s="4"/>
      <c r="O200" s="4"/>
      <c r="P200" s="4"/>
      <c r="Q200" s="4"/>
      <c r="R200" s="4"/>
      <c r="S200" s="4"/>
    </row>
    <row r="201" spans="2:37">
      <c r="B201" s="4"/>
      <c r="C201" s="4"/>
      <c r="D201" s="2"/>
      <c r="E201" s="4" t="s">
        <v>113</v>
      </c>
      <c r="F201" s="4" t="s">
        <v>1016</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710</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653</v>
      </c>
      <c r="G203" s="4" t="s">
        <v>936</v>
      </c>
      <c r="I203" s="4"/>
      <c r="J203" s="4"/>
      <c r="M203" s="4"/>
      <c r="N203" s="4"/>
      <c r="O203" s="4"/>
      <c r="P203" s="4"/>
      <c r="Q203" s="4"/>
      <c r="R203" s="4"/>
      <c r="S203" s="4"/>
      <c r="T203" s="4"/>
      <c r="U203" s="4"/>
      <c r="V203" s="4"/>
      <c r="W203" s="4"/>
      <c r="X203" s="4"/>
      <c r="Y203" s="4"/>
    </row>
    <row r="204" spans="2:37">
      <c r="B204" s="4"/>
      <c r="C204" s="4"/>
      <c r="D204" s="2"/>
      <c r="E204" s="4" t="s">
        <v>581</v>
      </c>
      <c r="F204" s="4" t="s">
        <v>937</v>
      </c>
      <c r="M204" s="4"/>
      <c r="N204" s="4"/>
      <c r="O204" s="4"/>
      <c r="P204" s="4"/>
      <c r="Q204" s="4"/>
      <c r="R204" s="4"/>
      <c r="S204" s="4"/>
    </row>
    <row r="205" spans="2:37">
      <c r="B205" s="4"/>
      <c r="C205" s="4"/>
      <c r="D205" s="2"/>
      <c r="F205" t="s">
        <v>653</v>
      </c>
      <c r="G205" s="1263" t="s">
        <v>1175</v>
      </c>
      <c r="H205" s="1263"/>
      <c r="I205" s="1263"/>
      <c r="J205" s="1263"/>
      <c r="K205" s="1263"/>
      <c r="L205" s="1263"/>
      <c r="M205" s="1263"/>
      <c r="N205" s="1263"/>
      <c r="O205" s="1263"/>
      <c r="P205" s="1263"/>
      <c r="Q205" s="1263"/>
      <c r="R205" s="1263"/>
      <c r="S205" s="1263"/>
      <c r="T205" s="1263"/>
      <c r="U205" s="1263"/>
      <c r="V205" s="1263"/>
      <c r="W205" s="1263"/>
      <c r="X205" s="1263"/>
      <c r="Y205" s="1263"/>
      <c r="Z205" s="1263"/>
      <c r="AA205" s="1263"/>
      <c r="AB205" s="1263"/>
      <c r="AC205" s="1263"/>
      <c r="AD205" s="1263"/>
      <c r="AE205" s="1263"/>
      <c r="AF205" s="1263"/>
      <c r="AG205" s="1263"/>
      <c r="AH205" s="1263"/>
      <c r="AI205" s="1263"/>
      <c r="AJ205" s="1263"/>
      <c r="AK205" s="1263"/>
    </row>
    <row r="206" spans="2:37">
      <c r="B206" s="4"/>
      <c r="C206" s="4"/>
      <c r="D206" s="2"/>
      <c r="G206" s="1263"/>
      <c r="H206" s="1263"/>
      <c r="I206" s="1263"/>
      <c r="J206" s="1263"/>
      <c r="K206" s="1263"/>
      <c r="L206" s="1263"/>
      <c r="M206" s="1263"/>
      <c r="N206" s="1263"/>
      <c r="O206" s="1263"/>
      <c r="P206" s="1263"/>
      <c r="Q206" s="1263"/>
      <c r="R206" s="1263"/>
      <c r="S206" s="1263"/>
      <c r="T206" s="1263"/>
      <c r="U206" s="1263"/>
      <c r="V206" s="1263"/>
      <c r="W206" s="1263"/>
      <c r="X206" s="1263"/>
      <c r="Y206" s="1263"/>
      <c r="Z206" s="1263"/>
      <c r="AA206" s="1263"/>
      <c r="AB206" s="1263"/>
      <c r="AC206" s="1263"/>
      <c r="AD206" s="1263"/>
      <c r="AE206" s="1263"/>
      <c r="AF206" s="1263"/>
      <c r="AG206" s="1263"/>
      <c r="AH206" s="1263"/>
      <c r="AI206" s="1263"/>
      <c r="AJ206" s="1263"/>
      <c r="AK206" s="1263"/>
    </row>
    <row r="207" spans="2:37">
      <c r="B207" s="4"/>
      <c r="C207" s="4"/>
      <c r="D207" s="2"/>
      <c r="M207" s="4"/>
      <c r="N207" s="4"/>
      <c r="O207" s="4"/>
      <c r="P207" s="4"/>
      <c r="Q207" s="4"/>
      <c r="R207" s="4"/>
      <c r="S207" s="4"/>
    </row>
    <row r="208" spans="2:37">
      <c r="B208" s="4"/>
      <c r="C208" s="4"/>
      <c r="D208" s="2" t="s">
        <v>557</v>
      </c>
      <c r="E208" s="2" t="s">
        <v>764</v>
      </c>
      <c r="G208" s="4"/>
      <c r="H208" s="4"/>
      <c r="I208" s="4"/>
      <c r="J208" s="4"/>
      <c r="M208" s="4"/>
      <c r="N208" s="4"/>
      <c r="O208" s="4"/>
      <c r="P208" s="4"/>
      <c r="Q208" s="4"/>
      <c r="R208" s="4"/>
      <c r="S208" s="4"/>
      <c r="T208" s="4"/>
      <c r="U208" s="4"/>
      <c r="V208" s="4"/>
      <c r="W208" s="4"/>
    </row>
    <row r="209" spans="1:38">
      <c r="B209" s="4"/>
      <c r="C209" s="4"/>
      <c r="E209" s="4" t="s">
        <v>711</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555</v>
      </c>
      <c r="E211" s="2" t="s">
        <v>247</v>
      </c>
      <c r="F211" s="4"/>
      <c r="G211" s="4"/>
      <c r="I211" s="4"/>
      <c r="J211" s="4"/>
      <c r="M211" s="4"/>
      <c r="N211" s="4"/>
      <c r="O211" s="4"/>
      <c r="P211" s="4"/>
      <c r="Q211" s="4"/>
      <c r="R211" s="4"/>
      <c r="S211" s="4"/>
      <c r="T211" s="4"/>
      <c r="U211" s="4"/>
      <c r="V211" s="4"/>
      <c r="W211" s="4"/>
    </row>
    <row r="212" spans="1:38">
      <c r="B212" s="4"/>
      <c r="C212" s="4"/>
      <c r="D212" s="2"/>
      <c r="E212" s="4" t="s">
        <v>298</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712</v>
      </c>
      <c r="D214" s="2"/>
      <c r="G214" s="2" t="s">
        <v>809</v>
      </c>
      <c r="M214" s="4"/>
      <c r="N214" s="4"/>
      <c r="O214" s="4"/>
      <c r="P214" s="4"/>
      <c r="Q214" s="4"/>
      <c r="R214" s="4"/>
      <c r="S214" s="4"/>
    </row>
    <row r="215" spans="1:38">
      <c r="B215" s="4"/>
      <c r="C215" s="4"/>
      <c r="E215" t="s">
        <v>112</v>
      </c>
      <c r="F215" s="4" t="s">
        <v>808</v>
      </c>
      <c r="G215" s="4"/>
      <c r="H215" s="4"/>
      <c r="I215" s="4"/>
      <c r="L215" s="4"/>
      <c r="N215" s="4"/>
      <c r="O215" s="4"/>
      <c r="P215" s="4"/>
      <c r="Q215" s="4"/>
      <c r="R215" s="4"/>
      <c r="S215" s="4"/>
    </row>
    <row r="216" spans="1:38">
      <c r="B216" s="4"/>
      <c r="C216" s="4"/>
      <c r="F216" s="4" t="s">
        <v>653</v>
      </c>
      <c r="G216" s="4" t="s">
        <v>715</v>
      </c>
      <c r="I216" s="4"/>
      <c r="M216" s="4"/>
      <c r="N216" s="4"/>
      <c r="O216" s="4"/>
      <c r="P216" s="4"/>
      <c r="Q216" s="4"/>
      <c r="R216" s="4"/>
      <c r="S216" s="4"/>
    </row>
    <row r="217" spans="1:38">
      <c r="B217" s="4"/>
      <c r="C217" s="4"/>
      <c r="E217" t="s">
        <v>113</v>
      </c>
      <c r="F217" s="4" t="s">
        <v>399</v>
      </c>
      <c r="G217" s="4"/>
      <c r="H217" s="4"/>
      <c r="I217" s="4"/>
      <c r="M217" s="4"/>
      <c r="N217" s="4"/>
      <c r="O217" s="4"/>
      <c r="P217" s="4"/>
      <c r="Q217" s="4"/>
      <c r="R217" s="4"/>
      <c r="S217" s="4"/>
    </row>
    <row r="218" spans="1:38">
      <c r="B218" s="4"/>
      <c r="C218" s="4"/>
      <c r="F218" s="4" t="s">
        <v>653</v>
      </c>
      <c r="G218" s="4" t="s">
        <v>713</v>
      </c>
      <c r="I218" s="4"/>
      <c r="M218" s="4"/>
      <c r="N218" s="4"/>
      <c r="O218" s="4"/>
      <c r="P218" s="4"/>
      <c r="Q218" s="4"/>
      <c r="R218" s="4"/>
      <c r="S218" s="4"/>
    </row>
    <row r="219" spans="1:38">
      <c r="B219" s="4"/>
      <c r="C219" s="4"/>
      <c r="F219" s="4"/>
      <c r="G219" s="4" t="s">
        <v>714</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178</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429</v>
      </c>
      <c r="D223" s="4"/>
      <c r="E223" s="4"/>
      <c r="F223" s="4"/>
      <c r="G223" s="2" t="s">
        <v>452</v>
      </c>
      <c r="I223" s="4"/>
      <c r="J223" s="4"/>
      <c r="K223" s="4"/>
      <c r="M223" s="4"/>
      <c r="N223" s="4"/>
      <c r="O223" s="4"/>
      <c r="P223" s="4"/>
      <c r="Q223" s="4"/>
      <c r="R223" s="4"/>
      <c r="S223" s="4"/>
    </row>
    <row r="224" spans="1:38">
      <c r="B224" s="2"/>
      <c r="E224" s="4" t="s">
        <v>112</v>
      </c>
      <c r="F224" s="4" t="s">
        <v>716</v>
      </c>
      <c r="G224" s="4"/>
      <c r="I224" s="4"/>
      <c r="J224" s="4"/>
      <c r="K224" s="4"/>
      <c r="L224" s="4"/>
      <c r="M224" s="4"/>
      <c r="N224" s="4"/>
      <c r="O224" s="4"/>
      <c r="P224" s="4"/>
      <c r="Q224" s="4"/>
      <c r="R224" s="4"/>
      <c r="S224" s="4"/>
    </row>
    <row r="225" spans="2:19">
      <c r="B225" s="2"/>
      <c r="E225" s="4" t="s">
        <v>113</v>
      </c>
      <c r="F225" s="4" t="s">
        <v>680</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430</v>
      </c>
      <c r="D227" s="4"/>
      <c r="E227" s="4"/>
      <c r="F227" s="4"/>
      <c r="G227" s="2" t="s">
        <v>21</v>
      </c>
      <c r="I227" s="4"/>
      <c r="J227" s="4"/>
      <c r="K227" s="4"/>
      <c r="L227" s="4"/>
      <c r="M227" s="4"/>
      <c r="N227" s="4"/>
      <c r="O227" s="4"/>
      <c r="P227" s="4"/>
      <c r="Q227" s="4"/>
      <c r="R227" s="4"/>
      <c r="S227" s="4"/>
    </row>
    <row r="228" spans="2:19">
      <c r="B228" s="2"/>
      <c r="E228" s="4" t="s">
        <v>112</v>
      </c>
      <c r="F228" s="4" t="s">
        <v>717</v>
      </c>
      <c r="G228" s="4"/>
      <c r="I228" s="4"/>
      <c r="J228" s="4"/>
      <c r="K228" s="4"/>
      <c r="L228" s="4"/>
      <c r="M228" s="4"/>
      <c r="N228" s="4"/>
      <c r="O228" s="4"/>
      <c r="P228" s="4"/>
      <c r="Q228" s="4"/>
      <c r="R228" s="4"/>
      <c r="S228" s="4"/>
    </row>
    <row r="229" spans="2:19">
      <c r="B229" s="2"/>
      <c r="E229" s="4"/>
      <c r="F229" s="4" t="s">
        <v>718</v>
      </c>
      <c r="G229" s="4"/>
      <c r="H229" s="4"/>
      <c r="I229" s="4"/>
      <c r="J229" s="4"/>
      <c r="K229" s="4"/>
      <c r="L229" s="4"/>
      <c r="M229" s="4"/>
      <c r="N229" s="4"/>
      <c r="O229" s="4"/>
      <c r="P229" s="4"/>
      <c r="Q229" s="4"/>
      <c r="R229" s="4"/>
      <c r="S229" s="4"/>
    </row>
    <row r="230" spans="2:19">
      <c r="B230" s="2"/>
      <c r="D230" s="4"/>
      <c r="E230" s="4" t="s">
        <v>113</v>
      </c>
      <c r="F230" s="4" t="s">
        <v>680</v>
      </c>
      <c r="G230" s="4"/>
      <c r="I230" s="4"/>
      <c r="J230" s="4"/>
      <c r="K230" s="4"/>
      <c r="L230" s="4"/>
      <c r="M230" s="4"/>
      <c r="N230" s="4"/>
      <c r="O230" s="4"/>
      <c r="P230" s="4"/>
      <c r="Q230" s="4"/>
      <c r="R230" s="4"/>
      <c r="S230" s="4"/>
    </row>
    <row r="231" spans="2:19">
      <c r="B231" s="2"/>
      <c r="E231" s="4" t="s">
        <v>119</v>
      </c>
      <c r="F231" s="98" t="s">
        <v>952</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326</v>
      </c>
      <c r="F233" s="4"/>
      <c r="J233" s="4"/>
      <c r="K233" s="4"/>
      <c r="M233" s="4"/>
      <c r="N233" s="4"/>
      <c r="O233" s="4"/>
      <c r="P233" s="4"/>
      <c r="Q233" s="4"/>
      <c r="R233" s="4"/>
      <c r="S233" s="4"/>
    </row>
    <row r="234" spans="2:19">
      <c r="B234" s="4"/>
      <c r="C234" s="4"/>
      <c r="E234" t="s">
        <v>112</v>
      </c>
      <c r="F234" s="4" t="s">
        <v>326</v>
      </c>
      <c r="G234" s="2"/>
      <c r="H234" s="2"/>
      <c r="I234" s="2"/>
      <c r="L234" s="2"/>
      <c r="M234" s="2"/>
      <c r="N234" s="2"/>
      <c r="O234" s="2"/>
      <c r="P234" s="2"/>
      <c r="Q234" s="2"/>
      <c r="R234" s="4"/>
      <c r="S234" s="4"/>
    </row>
    <row r="235" spans="2:19">
      <c r="B235" s="4"/>
      <c r="C235" s="4"/>
      <c r="F235" s="4" t="s">
        <v>653</v>
      </c>
      <c r="G235" s="4" t="s">
        <v>719</v>
      </c>
      <c r="I235" s="4"/>
      <c r="M235" s="4"/>
      <c r="N235" s="4"/>
      <c r="O235" s="4"/>
      <c r="P235" s="4"/>
      <c r="Q235" s="4"/>
      <c r="R235" s="4"/>
      <c r="S235" s="4"/>
    </row>
    <row r="236" spans="2:19">
      <c r="B236" s="4"/>
      <c r="C236" s="4"/>
      <c r="F236" s="4"/>
      <c r="G236" s="4" t="s">
        <v>798</v>
      </c>
      <c r="I236" s="4"/>
      <c r="M236" s="4"/>
      <c r="N236" s="4"/>
      <c r="O236" s="4"/>
      <c r="P236" s="4"/>
      <c r="Q236" s="4"/>
      <c r="R236" s="4"/>
      <c r="S236" s="4"/>
    </row>
    <row r="237" spans="2:19">
      <c r="B237" s="4"/>
      <c r="C237" s="4"/>
      <c r="E237" t="s">
        <v>113</v>
      </c>
      <c r="F237" s="136" t="s">
        <v>445</v>
      </c>
      <c r="G237" s="2"/>
      <c r="H237" s="2"/>
      <c r="I237" s="2"/>
      <c r="L237" s="2"/>
      <c r="M237" s="2"/>
      <c r="N237" s="2"/>
      <c r="O237" s="2"/>
      <c r="P237" s="2"/>
      <c r="Q237" s="2"/>
      <c r="R237" s="2"/>
      <c r="S237" s="2"/>
    </row>
    <row r="238" spans="2:19">
      <c r="B238" s="4"/>
      <c r="C238" s="4"/>
      <c r="F238" s="4" t="s">
        <v>653</v>
      </c>
      <c r="G238" s="4" t="s">
        <v>722</v>
      </c>
      <c r="I238" s="4"/>
      <c r="M238" s="4"/>
      <c r="N238" s="4"/>
      <c r="O238" s="4"/>
      <c r="P238" s="4"/>
      <c r="Q238" s="4"/>
      <c r="R238" s="4"/>
      <c r="S238" s="4"/>
    </row>
    <row r="239" spans="2:19">
      <c r="B239" s="4"/>
      <c r="C239" s="4"/>
      <c r="F239" s="4"/>
      <c r="G239" s="4" t="s">
        <v>687</v>
      </c>
      <c r="H239" s="4" t="s">
        <v>941</v>
      </c>
      <c r="I239" s="4"/>
      <c r="M239" s="4"/>
      <c r="N239" s="4"/>
      <c r="O239" s="4"/>
      <c r="P239" s="4"/>
      <c r="Q239" s="4"/>
      <c r="R239" s="4"/>
      <c r="S239" s="4"/>
    </row>
    <row r="240" spans="2:19">
      <c r="B240" s="4"/>
      <c r="C240" s="4"/>
      <c r="F240" s="4" t="s">
        <v>347</v>
      </c>
      <c r="G240" s="136" t="s">
        <v>723</v>
      </c>
      <c r="I240" s="4"/>
      <c r="M240" s="4"/>
      <c r="N240" s="4"/>
      <c r="O240" s="4"/>
      <c r="P240" s="4"/>
      <c r="Q240" s="4"/>
      <c r="R240" s="4"/>
      <c r="S240" s="4"/>
    </row>
    <row r="241" spans="2:21">
      <c r="B241" s="4"/>
      <c r="C241" s="4"/>
      <c r="E241" t="s">
        <v>119</v>
      </c>
      <c r="F241" s="4" t="s">
        <v>653</v>
      </c>
      <c r="G241" s="136" t="s">
        <v>942</v>
      </c>
      <c r="I241" s="4"/>
      <c r="M241" s="4"/>
      <c r="N241" s="4"/>
      <c r="O241" s="4"/>
      <c r="P241" s="4"/>
      <c r="Q241" s="4"/>
      <c r="R241" s="4"/>
      <c r="S241" s="4"/>
    </row>
    <row r="242" spans="2:21">
      <c r="B242" s="4"/>
      <c r="C242" s="4"/>
      <c r="F242" s="4" t="s">
        <v>347</v>
      </c>
      <c r="G242" s="136" t="s">
        <v>943</v>
      </c>
      <c r="I242" s="4"/>
      <c r="M242" s="4"/>
      <c r="N242" s="4"/>
      <c r="O242" s="4"/>
      <c r="P242" s="4"/>
      <c r="Q242" s="4"/>
      <c r="R242" s="4"/>
      <c r="S242" s="4"/>
    </row>
    <row r="243" spans="2:21">
      <c r="B243" s="4"/>
      <c r="C243" s="4"/>
      <c r="F243" s="4" t="s">
        <v>348</v>
      </c>
      <c r="G243" s="136" t="s">
        <v>720</v>
      </c>
      <c r="I243" s="4"/>
      <c r="M243" s="4"/>
      <c r="N243" s="4"/>
      <c r="O243" s="4"/>
      <c r="P243" s="4"/>
      <c r="Q243" s="4"/>
      <c r="R243" s="4"/>
      <c r="S243" s="4"/>
    </row>
    <row r="244" spans="2:21">
      <c r="B244" s="4"/>
      <c r="C244" s="4"/>
      <c r="F244" s="4"/>
      <c r="G244" s="136" t="s">
        <v>721</v>
      </c>
      <c r="I244" s="4"/>
      <c r="M244" s="4"/>
      <c r="N244" s="4"/>
      <c r="O244" s="4"/>
      <c r="P244" s="4"/>
      <c r="Q244" s="4"/>
      <c r="R244" s="4"/>
      <c r="S244" s="4"/>
    </row>
    <row r="245" spans="2:21">
      <c r="B245" s="4"/>
      <c r="C245" s="4"/>
      <c r="D245" s="2"/>
      <c r="E245" s="4" t="s">
        <v>119</v>
      </c>
      <c r="F245" s="4" t="s">
        <v>327</v>
      </c>
      <c r="H245" s="4"/>
      <c r="I245" s="4"/>
      <c r="M245" s="4"/>
      <c r="N245" s="4"/>
      <c r="O245" s="4"/>
      <c r="P245" s="4"/>
      <c r="Q245" s="4"/>
      <c r="R245" s="4"/>
      <c r="S245" s="4"/>
    </row>
    <row r="246" spans="2:21">
      <c r="B246" s="4"/>
      <c r="C246" s="4"/>
      <c r="D246" s="2"/>
      <c r="E246" s="2"/>
      <c r="F246" t="s">
        <v>653</v>
      </c>
      <c r="G246" s="4" t="s">
        <v>431</v>
      </c>
      <c r="I246" s="4"/>
      <c r="M246" s="4"/>
      <c r="N246" s="4"/>
      <c r="O246" s="4"/>
      <c r="P246" s="4"/>
      <c r="Q246" s="4"/>
      <c r="R246" s="4"/>
      <c r="S246" s="4"/>
    </row>
    <row r="247" spans="2:21">
      <c r="B247" s="4"/>
      <c r="C247" s="4"/>
      <c r="D247" s="2"/>
      <c r="E247" s="2"/>
      <c r="F247" s="4"/>
      <c r="G247" s="4" t="s">
        <v>432</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382</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1148</v>
      </c>
      <c r="G251" s="4"/>
      <c r="I251" s="120"/>
      <c r="J251" s="4"/>
      <c r="K251" s="4"/>
      <c r="L251" s="4"/>
      <c r="M251" s="4"/>
      <c r="N251" s="4"/>
      <c r="O251" s="4"/>
      <c r="P251" s="4"/>
      <c r="Q251" s="4"/>
      <c r="R251" s="4"/>
      <c r="S251" s="4"/>
      <c r="T251" s="4"/>
      <c r="U251" s="4"/>
    </row>
    <row r="252" spans="2:21">
      <c r="B252" s="2"/>
      <c r="C252" s="2"/>
      <c r="E252" s="4" t="s">
        <v>113</v>
      </c>
      <c r="F252" s="4" t="s">
        <v>938</v>
      </c>
      <c r="I252" s="4"/>
      <c r="J252" s="4"/>
      <c r="K252" s="4"/>
      <c r="L252" s="4"/>
      <c r="M252" s="4"/>
      <c r="N252" s="4"/>
      <c r="O252" s="4"/>
      <c r="P252" s="4"/>
      <c r="Q252" s="4"/>
      <c r="R252" s="4"/>
      <c r="S252" s="4"/>
      <c r="T252" s="4"/>
      <c r="U252" s="4"/>
    </row>
    <row r="253" spans="2:21">
      <c r="B253" s="2"/>
      <c r="C253" s="2"/>
      <c r="E253" s="4"/>
      <c r="F253" s="204" t="s">
        <v>653</v>
      </c>
      <c r="G253" s="204" t="s">
        <v>811</v>
      </c>
      <c r="I253" s="3"/>
      <c r="K253" s="3"/>
      <c r="L253" s="3"/>
      <c r="M253" s="3"/>
      <c r="N253" s="3"/>
      <c r="O253" s="3"/>
      <c r="Q253" s="4"/>
      <c r="R253" s="4"/>
      <c r="S253" s="4"/>
      <c r="T253" s="4"/>
      <c r="U253" s="4"/>
    </row>
    <row r="254" spans="2:21">
      <c r="B254" s="2"/>
      <c r="C254" s="2"/>
      <c r="E254" s="4"/>
      <c r="F254" s="204"/>
      <c r="G254" s="204" t="s">
        <v>812</v>
      </c>
      <c r="I254" s="3"/>
      <c r="K254" s="3"/>
      <c r="L254" s="3"/>
      <c r="M254" s="3"/>
      <c r="N254" s="3"/>
      <c r="O254" s="3"/>
      <c r="P254" s="3"/>
    </row>
    <row r="255" spans="2:21">
      <c r="B255" s="2"/>
      <c r="C255" s="2"/>
      <c r="E255" s="4"/>
      <c r="F255" s="204" t="s">
        <v>347</v>
      </c>
      <c r="G255" s="204" t="s">
        <v>944</v>
      </c>
      <c r="I255" s="4"/>
      <c r="K255" s="4"/>
      <c r="L255" s="4"/>
      <c r="M255" s="4"/>
      <c r="N255" s="4"/>
      <c r="O255" s="4"/>
      <c r="P255" s="3"/>
    </row>
    <row r="256" spans="2:21">
      <c r="B256" s="2"/>
      <c r="C256" s="2"/>
      <c r="E256" s="4"/>
      <c r="F256" s="204"/>
      <c r="G256" s="204" t="s">
        <v>870</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206</v>
      </c>
      <c r="E258" s="2" t="s">
        <v>383</v>
      </c>
      <c r="G258" s="4"/>
      <c r="H258" s="4"/>
      <c r="I258" s="4"/>
      <c r="J258" s="4"/>
      <c r="K258" s="4"/>
      <c r="L258" s="4"/>
      <c r="M258" s="4"/>
      <c r="N258" s="4"/>
      <c r="O258" s="4"/>
      <c r="P258" s="4"/>
      <c r="Q258" s="4"/>
      <c r="R258" s="4"/>
      <c r="S258" s="4"/>
    </row>
    <row r="259" spans="2:21">
      <c r="B259" s="2"/>
      <c r="C259" s="2"/>
      <c r="E259" s="4" t="s">
        <v>112</v>
      </c>
      <c r="F259" s="4" t="s">
        <v>252</v>
      </c>
      <c r="G259" s="4"/>
      <c r="I259" s="4"/>
      <c r="J259" s="4"/>
      <c r="K259" s="4"/>
      <c r="L259" s="4"/>
      <c r="M259" s="4"/>
      <c r="N259" s="4"/>
      <c r="O259" s="4"/>
      <c r="P259" s="4"/>
      <c r="Q259" s="4"/>
      <c r="R259" s="4"/>
      <c r="S259" s="4"/>
    </row>
    <row r="260" spans="2:21">
      <c r="B260" s="2"/>
      <c r="C260" s="2"/>
      <c r="E260" s="4" t="s">
        <v>113</v>
      </c>
      <c r="F260" s="4" t="s">
        <v>803</v>
      </c>
      <c r="G260" s="4"/>
      <c r="I260" s="4"/>
      <c r="J260" s="4"/>
      <c r="K260" s="4"/>
      <c r="L260" s="4"/>
      <c r="M260" s="4"/>
      <c r="N260" s="4"/>
      <c r="O260" s="4"/>
      <c r="P260" s="4"/>
      <c r="Q260" s="4"/>
      <c r="R260" s="4"/>
      <c r="S260" s="4"/>
    </row>
    <row r="261" spans="2:21">
      <c r="B261" s="2"/>
      <c r="C261" s="2"/>
      <c r="E261" s="4" t="s">
        <v>119</v>
      </c>
      <c r="F261" s="4" t="s">
        <v>253</v>
      </c>
      <c r="I261" s="4"/>
      <c r="J261" s="4"/>
      <c r="K261" s="4"/>
      <c r="L261" s="4"/>
      <c r="M261" s="4"/>
      <c r="N261" s="4"/>
      <c r="O261" s="4"/>
      <c r="P261" s="4"/>
      <c r="Q261" s="4"/>
      <c r="R261" s="4"/>
      <c r="S261" s="4"/>
    </row>
    <row r="262" spans="2:21">
      <c r="B262" s="2"/>
      <c r="C262" s="2"/>
      <c r="E262" s="2"/>
      <c r="F262" s="4" t="s">
        <v>804</v>
      </c>
      <c r="I262" s="4"/>
      <c r="J262" s="4"/>
      <c r="K262" s="4"/>
      <c r="L262" s="4"/>
      <c r="M262" s="4"/>
      <c r="N262" s="4"/>
      <c r="O262" s="4"/>
      <c r="P262" s="4"/>
      <c r="Q262" s="4"/>
      <c r="R262" s="4"/>
      <c r="S262" s="4"/>
    </row>
    <row r="263" spans="2:21">
      <c r="B263" s="2"/>
      <c r="C263" s="2"/>
      <c r="E263" s="4" t="s">
        <v>581</v>
      </c>
      <c r="F263" s="204" t="s">
        <v>813</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340</v>
      </c>
      <c r="E265" s="2" t="s">
        <v>72</v>
      </c>
      <c r="G265" s="4"/>
      <c r="H265" s="4"/>
      <c r="I265" s="4"/>
      <c r="J265" s="4"/>
      <c r="K265" s="4"/>
      <c r="L265" s="4"/>
      <c r="M265" s="4"/>
      <c r="N265" s="4"/>
      <c r="O265" s="4"/>
      <c r="P265" s="4"/>
      <c r="Q265" s="4"/>
      <c r="R265" s="4"/>
      <c r="S265" s="4"/>
    </row>
    <row r="266" spans="2:21">
      <c r="B266" s="2"/>
      <c r="C266" s="2"/>
      <c r="E266" s="4" t="s">
        <v>1017</v>
      </c>
      <c r="F266" s="4"/>
      <c r="G266" s="4"/>
      <c r="O266" s="4"/>
      <c r="P266" s="4"/>
      <c r="Q266" s="4"/>
      <c r="R266" s="4"/>
      <c r="S266" s="4"/>
    </row>
    <row r="267" spans="2:21">
      <c r="B267" s="2"/>
      <c r="C267" s="2"/>
      <c r="E267" s="2"/>
      <c r="G267" s="4"/>
      <c r="H267" s="4"/>
      <c r="O267" s="4"/>
      <c r="P267" s="4"/>
      <c r="Q267" s="4"/>
      <c r="R267" s="4"/>
      <c r="S267" s="4"/>
    </row>
    <row r="268" spans="2:21">
      <c r="B268" s="2"/>
      <c r="C268" s="2"/>
      <c r="D268" s="2" t="s">
        <v>574</v>
      </c>
      <c r="E268" s="2" t="s">
        <v>286</v>
      </c>
      <c r="G268" s="4"/>
    </row>
    <row r="269" spans="2:21">
      <c r="B269" s="2"/>
      <c r="C269" s="2"/>
      <c r="E269" s="4" t="s">
        <v>254</v>
      </c>
      <c r="F269" s="4"/>
      <c r="G269" s="4"/>
      <c r="J269" s="4"/>
      <c r="K269" s="4"/>
      <c r="L269" s="4"/>
      <c r="M269" s="4"/>
      <c r="N269" s="4"/>
    </row>
    <row r="270" spans="2:21">
      <c r="B270" s="2"/>
      <c r="C270" s="2"/>
      <c r="E270" s="4" t="s">
        <v>945</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514</v>
      </c>
      <c r="E272" s="2" t="s">
        <v>612</v>
      </c>
      <c r="G272" s="4"/>
      <c r="H272" s="4"/>
      <c r="J272" s="4"/>
      <c r="K272" s="4"/>
      <c r="L272" s="4"/>
      <c r="M272" s="4"/>
      <c r="N272" s="4"/>
      <c r="O272" s="4"/>
      <c r="P272" s="4"/>
      <c r="Q272" s="4"/>
      <c r="R272" s="4"/>
      <c r="S272" s="4"/>
      <c r="T272" s="4"/>
      <c r="U272" s="4"/>
    </row>
    <row r="273" spans="2:23">
      <c r="B273" s="2"/>
      <c r="D273" s="4"/>
      <c r="E273" s="4" t="s">
        <v>1010</v>
      </c>
      <c r="J273" s="4"/>
      <c r="K273" s="4"/>
      <c r="L273" s="4"/>
      <c r="M273" s="4"/>
      <c r="N273" s="4"/>
      <c r="O273" s="4"/>
      <c r="P273" s="4"/>
      <c r="Q273" s="4"/>
      <c r="R273" s="4"/>
      <c r="S273" s="4"/>
      <c r="T273" s="4"/>
      <c r="U273" s="4"/>
    </row>
    <row r="274" spans="2:23">
      <c r="B274" s="2"/>
      <c r="D274" s="4"/>
      <c r="E274" s="4" t="s">
        <v>939</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302</v>
      </c>
      <c r="E276" s="2" t="s">
        <v>287</v>
      </c>
      <c r="K276" s="4"/>
      <c r="L276" s="4"/>
      <c r="M276" s="4"/>
      <c r="N276" s="4"/>
      <c r="O276" s="4"/>
      <c r="P276" s="4"/>
      <c r="Q276" s="4"/>
      <c r="R276" s="4"/>
      <c r="S276" s="4"/>
      <c r="T276" s="4"/>
      <c r="U276" s="4"/>
    </row>
    <row r="277" spans="2:23">
      <c r="B277" s="2"/>
      <c r="D277" s="2"/>
      <c r="E277" t="s">
        <v>255</v>
      </c>
      <c r="K277" s="4"/>
      <c r="L277" s="4"/>
      <c r="M277" s="4"/>
      <c r="N277" s="4"/>
      <c r="O277" s="4"/>
      <c r="P277" s="4"/>
      <c r="Q277" s="4"/>
      <c r="R277" s="4"/>
      <c r="S277" s="4"/>
    </row>
    <row r="278" spans="2:23">
      <c r="B278" s="2"/>
      <c r="D278" s="4"/>
      <c r="E278" s="4" t="s">
        <v>946</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428</v>
      </c>
      <c r="E280" s="2" t="s">
        <v>424</v>
      </c>
      <c r="G280" s="4"/>
      <c r="H280" s="4"/>
      <c r="I280" s="4"/>
      <c r="J280" s="4"/>
      <c r="K280" s="4"/>
      <c r="L280" s="4"/>
      <c r="M280" s="4"/>
      <c r="O280" s="4"/>
      <c r="P280" s="4"/>
      <c r="Q280" s="4"/>
      <c r="R280" s="4"/>
      <c r="S280" s="4"/>
    </row>
    <row r="281" spans="2:23">
      <c r="B281" s="2"/>
      <c r="D281" s="2"/>
      <c r="E281" t="s">
        <v>256</v>
      </c>
      <c r="G281" s="4"/>
      <c r="H281" s="4"/>
      <c r="I281" s="4"/>
      <c r="J281" s="4"/>
      <c r="K281" s="4"/>
      <c r="L281" s="4"/>
      <c r="M281" s="4"/>
      <c r="P281" s="4"/>
      <c r="Q281" s="4"/>
      <c r="R281" s="4"/>
      <c r="S281" s="4"/>
    </row>
    <row r="282" spans="2:23">
      <c r="B282" s="2"/>
      <c r="D282" s="2"/>
      <c r="E282" t="s">
        <v>257</v>
      </c>
      <c r="G282" s="4"/>
      <c r="H282" s="4"/>
      <c r="I282" s="4"/>
      <c r="J282" s="4"/>
      <c r="K282" s="4"/>
      <c r="L282" s="4"/>
      <c r="M282" s="4"/>
      <c r="P282" s="4"/>
      <c r="Q282" s="4"/>
      <c r="R282" s="4"/>
      <c r="S282" s="4"/>
    </row>
    <row r="283" spans="2:23">
      <c r="B283" s="2"/>
      <c r="D283" s="2"/>
      <c r="E283" s="120" t="s">
        <v>947</v>
      </c>
      <c r="F283" s="120"/>
      <c r="G283" s="4"/>
      <c r="H283" s="120"/>
      <c r="I283" s="120"/>
      <c r="J283" s="4"/>
      <c r="K283" s="4"/>
      <c r="L283" s="4"/>
      <c r="M283" s="4"/>
      <c r="P283" s="4"/>
      <c r="Q283" s="4"/>
      <c r="R283" s="4"/>
      <c r="S283" s="4"/>
    </row>
    <row r="284" spans="2:23">
      <c r="B284" s="2"/>
      <c r="D284" s="2"/>
      <c r="E284" s="449" t="s">
        <v>869</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557</v>
      </c>
      <c r="E286" s="2" t="s">
        <v>558</v>
      </c>
      <c r="K286" s="4"/>
      <c r="L286" s="4"/>
      <c r="M286" s="4"/>
      <c r="N286" s="4"/>
    </row>
    <row r="287" spans="2:23">
      <c r="B287" s="2"/>
      <c r="D287" s="4"/>
      <c r="E287" s="4" t="s">
        <v>112</v>
      </c>
      <c r="F287" s="4" t="s">
        <v>559</v>
      </c>
      <c r="G287" s="4"/>
      <c r="O287" s="4"/>
      <c r="P287" s="4"/>
      <c r="Q287" s="4"/>
      <c r="R287" s="4"/>
      <c r="S287" s="4"/>
      <c r="T287" s="4"/>
      <c r="U287" s="4"/>
      <c r="V287" s="4"/>
      <c r="W287" s="4"/>
    </row>
    <row r="288" spans="2:23">
      <c r="B288" s="2"/>
      <c r="D288" s="4"/>
      <c r="E288" s="4"/>
      <c r="F288" s="120" t="s">
        <v>1149</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560</v>
      </c>
      <c r="G289" s="4"/>
      <c r="L289" s="4"/>
      <c r="M289" s="4"/>
      <c r="N289" s="4"/>
      <c r="O289" s="4"/>
      <c r="P289" s="4"/>
      <c r="Q289" s="4"/>
      <c r="R289" s="4"/>
      <c r="S289" s="4"/>
      <c r="T289" s="4"/>
      <c r="U289" s="4"/>
      <c r="V289" s="4"/>
      <c r="W289" s="4"/>
    </row>
    <row r="290" spans="2:23">
      <c r="B290" s="2"/>
      <c r="D290" s="4"/>
      <c r="E290" s="4" t="s">
        <v>119</v>
      </c>
      <c r="F290" s="4" t="s">
        <v>258</v>
      </c>
      <c r="G290" s="4"/>
      <c r="H290" s="4"/>
      <c r="K290" s="4"/>
      <c r="L290" s="4"/>
      <c r="M290" s="4"/>
      <c r="N290" s="4"/>
      <c r="O290" s="4"/>
      <c r="P290" s="4"/>
      <c r="Q290" s="4"/>
      <c r="R290" s="4"/>
      <c r="S290" s="4"/>
      <c r="T290" s="4"/>
      <c r="U290" s="4"/>
      <c r="V290" s="4"/>
      <c r="W290" s="4"/>
    </row>
    <row r="291" spans="2:23">
      <c r="B291" s="2"/>
      <c r="D291" s="4"/>
      <c r="E291" s="4"/>
      <c r="F291" s="4" t="s">
        <v>653</v>
      </c>
      <c r="G291" s="4" t="s">
        <v>259</v>
      </c>
      <c r="K291" s="4"/>
      <c r="L291" s="4"/>
      <c r="M291" s="4"/>
      <c r="N291" s="4"/>
      <c r="O291" s="4"/>
      <c r="P291" s="4"/>
      <c r="Q291" s="4"/>
      <c r="R291" s="4"/>
      <c r="S291" s="4"/>
      <c r="T291" s="4"/>
      <c r="U291" s="4"/>
      <c r="V291" s="4"/>
      <c r="W291" s="4"/>
    </row>
    <row r="292" spans="2:23">
      <c r="B292" s="2"/>
      <c r="D292" s="4"/>
      <c r="E292" s="4"/>
      <c r="F292" s="4" t="s">
        <v>347</v>
      </c>
      <c r="G292" s="4" t="s">
        <v>940</v>
      </c>
      <c r="H292" s="4"/>
      <c r="K292" s="4"/>
      <c r="L292" s="4"/>
      <c r="M292" s="4"/>
      <c r="N292" s="4"/>
      <c r="O292" s="4"/>
      <c r="P292" s="4"/>
      <c r="Q292" s="4"/>
      <c r="R292" s="4"/>
      <c r="S292" s="4"/>
      <c r="T292" s="4"/>
      <c r="U292" s="4"/>
      <c r="V292" s="4"/>
      <c r="W292" s="4"/>
    </row>
    <row r="293" spans="2:23">
      <c r="B293" s="2"/>
      <c r="D293" s="4"/>
      <c r="E293" s="4"/>
      <c r="F293" s="4" t="s">
        <v>348</v>
      </c>
      <c r="G293" s="4" t="s">
        <v>561</v>
      </c>
      <c r="K293" s="4"/>
      <c r="L293" s="4"/>
      <c r="M293" s="4"/>
      <c r="N293" s="4"/>
      <c r="O293" s="4"/>
      <c r="P293" s="4"/>
      <c r="Q293" s="4"/>
      <c r="R293" s="4"/>
      <c r="S293" s="4"/>
      <c r="T293" s="4"/>
      <c r="U293" s="4"/>
      <c r="V293" s="4"/>
      <c r="W293" s="4"/>
    </row>
    <row r="294" spans="2:23">
      <c r="B294" s="2"/>
      <c r="D294" s="4"/>
      <c r="E294" s="4"/>
      <c r="F294" s="4" t="s">
        <v>444</v>
      </c>
      <c r="G294" s="4" t="s">
        <v>260</v>
      </c>
      <c r="H294" s="4"/>
      <c r="K294" s="4"/>
      <c r="L294" s="4"/>
      <c r="M294" s="4"/>
      <c r="N294" s="4"/>
      <c r="O294" s="4"/>
      <c r="P294" s="4"/>
      <c r="Q294" s="4"/>
      <c r="R294" s="4"/>
      <c r="S294" s="4"/>
      <c r="T294" s="4"/>
      <c r="U294" s="4"/>
      <c r="V294" s="4"/>
      <c r="W294" s="4"/>
    </row>
    <row r="295" spans="2:23">
      <c r="B295" s="2"/>
      <c r="D295" s="4"/>
      <c r="E295" s="4"/>
      <c r="F295" s="4" t="s">
        <v>261</v>
      </c>
      <c r="G295" s="4" t="s">
        <v>389</v>
      </c>
      <c r="K295" s="4"/>
      <c r="L295" s="4"/>
      <c r="M295" s="4"/>
      <c r="N295" s="4"/>
      <c r="O295" s="4"/>
      <c r="P295" s="4"/>
      <c r="Q295" s="4"/>
      <c r="R295" s="4"/>
      <c r="S295" s="4"/>
      <c r="T295" s="4"/>
      <c r="U295" s="4"/>
      <c r="V295" s="4"/>
      <c r="W295" s="4"/>
    </row>
    <row r="296" spans="2:23">
      <c r="B296" s="2"/>
      <c r="D296" s="4"/>
      <c r="E296" s="4"/>
      <c r="F296" s="4" t="s">
        <v>262</v>
      </c>
      <c r="G296" s="4" t="s">
        <v>169</v>
      </c>
      <c r="H296" s="4"/>
      <c r="K296" s="4"/>
      <c r="L296" s="4"/>
      <c r="M296" s="4"/>
      <c r="N296" s="4"/>
      <c r="O296" s="4"/>
      <c r="P296" s="4"/>
      <c r="Q296" s="4"/>
      <c r="R296" s="4"/>
      <c r="S296" s="4"/>
      <c r="T296" s="4"/>
      <c r="U296" s="4"/>
      <c r="V296" s="4"/>
      <c r="W296" s="4"/>
    </row>
    <row r="297" spans="2:23">
      <c r="B297" s="2"/>
      <c r="D297" s="4"/>
      <c r="E297" s="4" t="s">
        <v>581</v>
      </c>
      <c r="F297" s="4" t="s">
        <v>742</v>
      </c>
      <c r="G297" s="4"/>
      <c r="K297" s="4"/>
      <c r="L297" s="4"/>
      <c r="M297" s="4"/>
      <c r="N297" s="4"/>
      <c r="O297" s="4"/>
      <c r="P297" s="4"/>
      <c r="Q297" s="4"/>
      <c r="R297" s="4"/>
      <c r="S297" s="4"/>
      <c r="T297" s="4"/>
      <c r="U297" s="4"/>
      <c r="V297" s="4"/>
      <c r="W297" s="4"/>
    </row>
    <row r="298" spans="2:23">
      <c r="B298" s="2"/>
      <c r="D298" s="4"/>
      <c r="E298" s="4" t="s">
        <v>763</v>
      </c>
      <c r="F298" s="4" t="s">
        <v>749</v>
      </c>
      <c r="G298" s="4"/>
      <c r="K298" s="4"/>
      <c r="L298" s="4"/>
      <c r="M298" s="4"/>
      <c r="N298" s="4"/>
      <c r="O298" s="4"/>
      <c r="P298" s="4"/>
      <c r="Q298" s="4"/>
      <c r="R298" s="4"/>
      <c r="S298" s="4"/>
      <c r="T298" s="4"/>
      <c r="U298" s="4"/>
      <c r="V298" s="4"/>
      <c r="W298" s="4"/>
    </row>
    <row r="299" spans="2:23">
      <c r="B299" s="2"/>
      <c r="D299" s="4"/>
      <c r="E299" s="4"/>
      <c r="F299" s="120" t="s">
        <v>962</v>
      </c>
      <c r="G299" s="120"/>
      <c r="H299" s="120"/>
      <c r="I299" s="120"/>
      <c r="J299" s="120"/>
      <c r="K299" s="120"/>
      <c r="L299" s="120"/>
      <c r="M299" s="4"/>
      <c r="N299" s="4"/>
      <c r="O299" s="4"/>
      <c r="P299" s="4"/>
      <c r="Q299" s="4"/>
      <c r="R299" s="4"/>
      <c r="S299" s="4"/>
      <c r="T299" s="4"/>
      <c r="U299" s="4"/>
      <c r="V299" s="4"/>
      <c r="W299" s="4"/>
    </row>
    <row r="300" spans="2:23">
      <c r="B300" s="2"/>
      <c r="D300" s="4"/>
      <c r="E300" s="4"/>
      <c r="F300" s="120" t="s">
        <v>963</v>
      </c>
      <c r="G300" s="120"/>
      <c r="H300" s="120"/>
      <c r="I300" s="120"/>
      <c r="J300" s="120"/>
      <c r="K300" s="120"/>
      <c r="L300" s="120"/>
      <c r="M300" s="4"/>
      <c r="N300" s="4"/>
      <c r="O300" s="4"/>
      <c r="P300" s="4"/>
      <c r="Q300" s="4"/>
      <c r="R300" s="4"/>
      <c r="S300" s="4"/>
      <c r="T300" s="4"/>
      <c r="U300" s="4"/>
      <c r="V300" s="4"/>
      <c r="W300" s="4"/>
    </row>
    <row r="301" spans="2:23">
      <c r="B301" s="2"/>
      <c r="D301" s="4"/>
      <c r="E301" s="4"/>
      <c r="F301" s="120" t="s">
        <v>964</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555</v>
      </c>
      <c r="E303" s="2" t="s">
        <v>288</v>
      </c>
      <c r="G303" s="4"/>
      <c r="H303" s="4"/>
      <c r="I303" s="4"/>
      <c r="J303" s="4"/>
      <c r="K303" s="4"/>
      <c r="L303" s="4"/>
      <c r="M303" s="4"/>
      <c r="N303" s="4"/>
      <c r="O303" s="4"/>
      <c r="P303" s="4"/>
      <c r="Q303" s="4"/>
      <c r="R303" s="4"/>
      <c r="S303" s="4"/>
      <c r="T303" s="4"/>
      <c r="U303" s="4"/>
      <c r="V303" s="4"/>
      <c r="W303" s="4"/>
    </row>
    <row r="304" spans="2:23">
      <c r="B304" s="2"/>
      <c r="D304" s="2"/>
      <c r="E304" s="4" t="s">
        <v>948</v>
      </c>
      <c r="F304" s="4"/>
      <c r="K304" s="4"/>
      <c r="L304" s="4"/>
      <c r="M304" s="4"/>
      <c r="N304" s="4"/>
      <c r="O304" s="4"/>
      <c r="P304" s="4"/>
      <c r="Q304" s="4"/>
      <c r="R304" s="4"/>
      <c r="S304" s="4"/>
      <c r="T304" s="4"/>
      <c r="U304" s="4"/>
      <c r="V304" s="4"/>
      <c r="W304" s="4"/>
    </row>
    <row r="305" spans="2:23">
      <c r="B305" s="2"/>
      <c r="D305" s="2"/>
      <c r="E305" s="4" t="s">
        <v>946</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614</v>
      </c>
      <c r="I307" s="4"/>
      <c r="J307" s="4"/>
      <c r="K307" s="4"/>
      <c r="L307" s="4"/>
      <c r="M307" s="4"/>
      <c r="N307" s="4"/>
      <c r="O307" s="4"/>
      <c r="P307" s="4"/>
    </row>
    <row r="308" spans="2:23">
      <c r="B308" s="2"/>
      <c r="D308" s="2" t="s">
        <v>206</v>
      </c>
      <c r="E308" s="2" t="s">
        <v>263</v>
      </c>
      <c r="G308" s="2"/>
      <c r="H308" s="2"/>
      <c r="I308" s="2"/>
      <c r="J308" s="2"/>
      <c r="K308" s="2"/>
      <c r="L308" s="2"/>
      <c r="M308" s="2"/>
      <c r="N308" s="2"/>
      <c r="O308" s="2"/>
      <c r="P308" s="2"/>
      <c r="Q308" s="2"/>
      <c r="R308" s="2"/>
    </row>
    <row r="309" spans="2:23">
      <c r="B309" s="2"/>
      <c r="D309" s="2"/>
      <c r="E309" t="s">
        <v>264</v>
      </c>
      <c r="G309" s="4"/>
      <c r="I309" s="4"/>
      <c r="K309" s="4"/>
    </row>
    <row r="310" spans="2:23">
      <c r="B310" s="2"/>
      <c r="D310" s="2"/>
      <c r="E310" s="4" t="s">
        <v>799</v>
      </c>
      <c r="F310" s="4"/>
      <c r="G310" s="4"/>
      <c r="I310" s="4"/>
      <c r="K310" s="4"/>
    </row>
    <row r="311" spans="2:23">
      <c r="B311" s="2"/>
      <c r="D311" s="2"/>
      <c r="E311" s="4" t="s">
        <v>949</v>
      </c>
      <c r="F311" s="4"/>
      <c r="G311" s="4"/>
      <c r="I311" s="4"/>
      <c r="K311" s="4"/>
    </row>
    <row r="312" spans="2:23">
      <c r="B312" s="2"/>
      <c r="D312" s="2"/>
      <c r="E312" s="4" t="s">
        <v>800</v>
      </c>
      <c r="F312" s="4"/>
      <c r="G312" s="4"/>
      <c r="I312" s="4"/>
      <c r="K312" s="4"/>
    </row>
    <row r="313" spans="2:23">
      <c r="B313" s="2"/>
      <c r="D313" s="2"/>
      <c r="G313" s="4"/>
      <c r="I313" s="4"/>
      <c r="K313" s="4"/>
    </row>
    <row r="314" spans="2:23">
      <c r="B314" s="2"/>
      <c r="D314" s="2" t="s">
        <v>340</v>
      </c>
      <c r="E314" s="2" t="s">
        <v>751</v>
      </c>
      <c r="G314" s="4"/>
      <c r="H314" s="4"/>
      <c r="I314" s="4"/>
      <c r="J314" s="4"/>
      <c r="K314" s="4"/>
      <c r="P314" s="4"/>
      <c r="Q314" s="4"/>
      <c r="R314" s="4"/>
      <c r="S314" s="4"/>
    </row>
    <row r="315" spans="2:23">
      <c r="B315" s="2"/>
      <c r="D315" s="2"/>
      <c r="E315" t="s">
        <v>265</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574</v>
      </c>
      <c r="E317" s="170" t="s">
        <v>735</v>
      </c>
      <c r="F317" s="3"/>
      <c r="G317" s="4"/>
      <c r="H317" s="4"/>
      <c r="I317" s="4"/>
      <c r="J317" s="4"/>
      <c r="K317" s="4"/>
      <c r="L317" s="4"/>
      <c r="M317" s="4"/>
      <c r="N317" s="4"/>
      <c r="O317" s="4"/>
      <c r="P317" s="4"/>
      <c r="Q317" s="4"/>
      <c r="R317" s="4"/>
      <c r="S317" s="4"/>
    </row>
    <row r="318" spans="2:23">
      <c r="B318" s="2"/>
      <c r="E318" t="s">
        <v>732</v>
      </c>
      <c r="I318" s="4"/>
      <c r="J318" s="4"/>
      <c r="K318" s="4"/>
      <c r="L318" s="4"/>
      <c r="M318" s="4"/>
      <c r="N318" s="4"/>
      <c r="O318" s="4"/>
      <c r="P318" s="4"/>
      <c r="Q318" s="4"/>
      <c r="R318" s="4"/>
      <c r="S318" s="4"/>
    </row>
    <row r="319" spans="2:23">
      <c r="B319" s="2"/>
      <c r="E319" t="s">
        <v>733</v>
      </c>
      <c r="I319" s="4"/>
      <c r="J319" s="4"/>
      <c r="K319" s="4"/>
      <c r="L319" s="4"/>
      <c r="M319" s="4"/>
      <c r="N319" s="4"/>
      <c r="O319" s="4"/>
      <c r="P319" s="4"/>
      <c r="Q319" s="4"/>
      <c r="R319" s="4"/>
      <c r="S319" s="4"/>
    </row>
    <row r="320" spans="2:23">
      <c r="B320" s="2"/>
      <c r="E320" t="s">
        <v>734</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615</v>
      </c>
      <c r="I322" s="4"/>
      <c r="J322" s="4"/>
      <c r="K322" s="4"/>
      <c r="L322" s="4"/>
      <c r="M322" s="4"/>
      <c r="N322" s="4"/>
      <c r="O322" s="4"/>
      <c r="P322" s="4"/>
      <c r="Q322" s="4"/>
      <c r="R322" s="4"/>
      <c r="S322" s="4"/>
    </row>
    <row r="323" spans="1:38">
      <c r="A323" t="s">
        <v>249</v>
      </c>
      <c r="D323" s="2" t="s">
        <v>206</v>
      </c>
      <c r="E323" s="2" t="s">
        <v>615</v>
      </c>
      <c r="J323" s="2"/>
      <c r="K323" s="2"/>
      <c r="L323" s="2"/>
      <c r="M323" s="4"/>
      <c r="N323" s="4"/>
      <c r="O323" s="4"/>
      <c r="P323" s="4"/>
      <c r="Q323" s="4"/>
      <c r="R323" s="4"/>
      <c r="S323" s="4"/>
    </row>
    <row r="324" spans="1:38">
      <c r="E324" t="s">
        <v>112</v>
      </c>
      <c r="F324" s="4" t="s">
        <v>950</v>
      </c>
      <c r="J324" s="4"/>
      <c r="K324" s="4"/>
      <c r="L324" s="4"/>
      <c r="M324" s="4"/>
      <c r="N324" s="4"/>
      <c r="O324" s="4"/>
      <c r="P324" s="4"/>
      <c r="Q324" s="4"/>
      <c r="R324" s="4"/>
      <c r="S324" s="4"/>
    </row>
    <row r="325" spans="1:38">
      <c r="E325" s="4" t="s">
        <v>113</v>
      </c>
      <c r="F325" t="s">
        <v>736</v>
      </c>
      <c r="J325" s="4"/>
      <c r="K325" s="4"/>
      <c r="L325" s="4"/>
      <c r="M325" s="4"/>
      <c r="N325" s="4"/>
      <c r="O325" s="4"/>
      <c r="P325" s="4"/>
      <c r="Q325" s="4"/>
      <c r="R325" s="4"/>
      <c r="S325" s="4"/>
    </row>
    <row r="326" spans="1:38">
      <c r="F326" s="120" t="s">
        <v>1150</v>
      </c>
      <c r="I326" s="120"/>
      <c r="J326" s="4"/>
      <c r="K326" s="4"/>
      <c r="L326" s="4"/>
      <c r="M326" s="4"/>
      <c r="N326" s="4"/>
      <c r="O326" s="4"/>
      <c r="P326" s="4"/>
      <c r="Q326" s="4"/>
      <c r="R326" s="4"/>
      <c r="S326" s="4"/>
    </row>
    <row r="327" spans="1:38">
      <c r="F327" s="120" t="s">
        <v>1151</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515</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429</v>
      </c>
      <c r="G331" s="2" t="s">
        <v>22</v>
      </c>
      <c r="I331" s="2"/>
      <c r="J331" s="4"/>
      <c r="K331" s="4"/>
      <c r="L331" s="4"/>
      <c r="M331" s="4"/>
      <c r="N331" s="4"/>
      <c r="O331" s="4"/>
      <c r="P331" s="4"/>
      <c r="Q331" s="4"/>
      <c r="R331" s="4"/>
      <c r="S331" s="4"/>
    </row>
    <row r="332" spans="1:38">
      <c r="B332" s="2"/>
      <c r="C332" s="2"/>
      <c r="D332" s="2" t="s">
        <v>206</v>
      </c>
      <c r="E332" s="2" t="s">
        <v>22</v>
      </c>
      <c r="G332" s="2"/>
      <c r="I332" s="2"/>
      <c r="J332" s="4"/>
      <c r="K332" s="4"/>
      <c r="L332" s="4"/>
      <c r="M332" s="4"/>
      <c r="N332" s="4"/>
      <c r="O332" s="4"/>
      <c r="P332" s="4"/>
      <c r="Q332" s="4"/>
      <c r="R332" s="4"/>
      <c r="S332" s="4"/>
    </row>
    <row r="333" spans="1:38">
      <c r="B333" s="2"/>
      <c r="E333" t="s">
        <v>112</v>
      </c>
      <c r="F333" t="s">
        <v>739</v>
      </c>
      <c r="J333" s="4"/>
      <c r="K333" s="4"/>
      <c r="L333" s="4"/>
      <c r="M333" s="4"/>
      <c r="N333" s="4"/>
      <c r="O333" s="4"/>
      <c r="P333" s="4"/>
      <c r="Q333" s="4"/>
      <c r="R333" s="4"/>
      <c r="S333" s="4"/>
    </row>
    <row r="334" spans="1:38">
      <c r="B334" s="2"/>
      <c r="E334" s="4"/>
      <c r="F334" s="4" t="s">
        <v>740</v>
      </c>
      <c r="J334" s="4"/>
      <c r="K334" s="4"/>
      <c r="L334" s="4"/>
      <c r="M334" s="4"/>
      <c r="N334" s="4"/>
      <c r="O334" s="4"/>
      <c r="P334" s="4"/>
      <c r="Q334" s="4"/>
      <c r="R334" s="4"/>
      <c r="S334" s="4"/>
    </row>
    <row r="335" spans="1:38">
      <c r="B335" s="2"/>
      <c r="E335" s="4"/>
      <c r="F335" s="4" t="s">
        <v>741</v>
      </c>
      <c r="I335" s="4"/>
      <c r="J335" s="4"/>
      <c r="K335" s="4"/>
      <c r="L335" s="4"/>
      <c r="M335" s="4"/>
      <c r="N335" s="4"/>
      <c r="O335" s="4"/>
      <c r="P335" s="4"/>
      <c r="Q335" s="4"/>
      <c r="R335" s="4"/>
      <c r="S335" s="4"/>
    </row>
    <row r="336" spans="1:38">
      <c r="B336" s="2"/>
      <c r="E336" s="4" t="s">
        <v>113</v>
      </c>
      <c r="F336" s="1263" t="s">
        <v>1154</v>
      </c>
      <c r="G336" s="1263"/>
      <c r="H336" s="1263"/>
      <c r="I336" s="1263"/>
      <c r="J336" s="1263"/>
      <c r="K336" s="1263"/>
      <c r="L336" s="1263"/>
      <c r="M336" s="1263"/>
      <c r="N336" s="1263"/>
      <c r="O336" s="1263"/>
      <c r="P336" s="1263"/>
      <c r="Q336" s="1263"/>
      <c r="R336" s="1263"/>
      <c r="S336" s="1263"/>
      <c r="T336" s="1263"/>
      <c r="U336" s="1263"/>
      <c r="V336" s="1263"/>
      <c r="W336" s="1263"/>
      <c r="X336" s="1263"/>
      <c r="Y336" s="1263"/>
      <c r="Z336" s="1263"/>
      <c r="AA336" s="1263"/>
      <c r="AB336" s="1263"/>
      <c r="AC336" s="1263"/>
      <c r="AD336" s="1263"/>
      <c r="AE336" s="1263"/>
      <c r="AF336" s="1263"/>
      <c r="AG336" s="1263"/>
      <c r="AH336" s="1263"/>
      <c r="AI336" s="1263"/>
      <c r="AJ336" s="1263"/>
      <c r="AK336" s="1263"/>
    </row>
    <row r="337" spans="2:37">
      <c r="B337" s="2"/>
      <c r="E337" s="4"/>
      <c r="F337" s="1263"/>
      <c r="G337" s="1263"/>
      <c r="H337" s="1263"/>
      <c r="I337" s="1263"/>
      <c r="J337" s="1263"/>
      <c r="K337" s="1263"/>
      <c r="L337" s="1263"/>
      <c r="M337" s="1263"/>
      <c r="N337" s="1263"/>
      <c r="O337" s="1263"/>
      <c r="P337" s="1263"/>
      <c r="Q337" s="1263"/>
      <c r="R337" s="1263"/>
      <c r="S337" s="1263"/>
      <c r="T337" s="1263"/>
      <c r="U337" s="1263"/>
      <c r="V337" s="1263"/>
      <c r="W337" s="1263"/>
      <c r="X337" s="1263"/>
      <c r="Y337" s="1263"/>
      <c r="Z337" s="1263"/>
      <c r="AA337" s="1263"/>
      <c r="AB337" s="1263"/>
      <c r="AC337" s="1263"/>
      <c r="AD337" s="1263"/>
      <c r="AE337" s="1263"/>
      <c r="AF337" s="1263"/>
      <c r="AG337" s="1263"/>
      <c r="AH337" s="1263"/>
      <c r="AI337" s="1263"/>
      <c r="AJ337" s="1263"/>
      <c r="AK337" s="1263"/>
    </row>
    <row r="338" spans="2:37">
      <c r="B338" s="2"/>
      <c r="E338" s="4"/>
      <c r="F338" s="1263"/>
      <c r="G338" s="1263"/>
      <c r="H338" s="1263"/>
      <c r="I338" s="1263"/>
      <c r="J338" s="1263"/>
      <c r="K338" s="1263"/>
      <c r="L338" s="1263"/>
      <c r="M338" s="1263"/>
      <c r="N338" s="1263"/>
      <c r="O338" s="1263"/>
      <c r="P338" s="1263"/>
      <c r="Q338" s="1263"/>
      <c r="R338" s="1263"/>
      <c r="S338" s="1263"/>
      <c r="T338" s="1263"/>
      <c r="U338" s="1263"/>
      <c r="V338" s="1263"/>
      <c r="W338" s="1263"/>
      <c r="X338" s="1263"/>
      <c r="Y338" s="1263"/>
      <c r="Z338" s="1263"/>
      <c r="AA338" s="1263"/>
      <c r="AB338" s="1263"/>
      <c r="AC338" s="1263"/>
      <c r="AD338" s="1263"/>
      <c r="AE338" s="1263"/>
      <c r="AF338" s="1263"/>
      <c r="AG338" s="1263"/>
      <c r="AH338" s="1263"/>
      <c r="AI338" s="1263"/>
      <c r="AJ338" s="1263"/>
      <c r="AK338" s="1263"/>
    </row>
    <row r="339" spans="2:37">
      <c r="B339" s="2"/>
      <c r="F339" s="4"/>
      <c r="H339" s="4"/>
      <c r="I339" s="4"/>
      <c r="J339" s="4"/>
      <c r="K339" s="4"/>
      <c r="L339" s="4"/>
      <c r="M339" s="4"/>
      <c r="N339" s="4"/>
      <c r="O339" s="4"/>
      <c r="P339" s="4"/>
      <c r="Q339" s="4"/>
      <c r="R339" s="4"/>
      <c r="S339" s="4"/>
    </row>
    <row r="340" spans="2:37">
      <c r="B340" s="2"/>
      <c r="C340" s="2" t="s">
        <v>430</v>
      </c>
      <c r="G340" s="2" t="s">
        <v>1227</v>
      </c>
      <c r="I340" s="2"/>
      <c r="J340" s="4"/>
      <c r="K340" s="4"/>
      <c r="L340" s="4"/>
      <c r="M340" s="4"/>
      <c r="N340" s="4"/>
      <c r="O340" s="4"/>
      <c r="P340" s="4"/>
      <c r="Q340" s="4"/>
      <c r="R340" s="4"/>
      <c r="S340" s="4"/>
    </row>
    <row r="341" spans="2:37" ht="13.15" customHeight="1">
      <c r="B341" s="2"/>
      <c r="E341" s="1266" t="s">
        <v>1234</v>
      </c>
      <c r="F341" s="1266"/>
      <c r="G341" s="1266"/>
      <c r="H341" s="1266"/>
      <c r="I341" s="1266"/>
      <c r="J341" s="1266"/>
      <c r="K341" s="1266"/>
      <c r="L341" s="1266"/>
      <c r="M341" s="1266"/>
      <c r="N341" s="1266"/>
      <c r="O341" s="1266"/>
      <c r="P341" s="1266"/>
      <c r="Q341" s="1266"/>
      <c r="R341" s="1266"/>
      <c r="S341" s="1266"/>
      <c r="T341" s="1266"/>
      <c r="U341" s="1266"/>
      <c r="V341" s="1266"/>
      <c r="W341" s="1266"/>
      <c r="X341" s="1266"/>
      <c r="Y341" s="1266"/>
      <c r="Z341" s="1266"/>
      <c r="AA341" s="1266"/>
      <c r="AB341" s="1266"/>
      <c r="AC341" s="1266"/>
      <c r="AD341" s="1266"/>
      <c r="AE341" s="1266"/>
      <c r="AF341" s="1266"/>
      <c r="AG341" s="1266"/>
      <c r="AH341" s="1266"/>
      <c r="AI341" s="1266"/>
      <c r="AJ341" s="1266"/>
      <c r="AK341" s="1266"/>
    </row>
    <row r="342" spans="2:37">
      <c r="B342" s="2"/>
      <c r="E342" s="1266"/>
      <c r="F342" s="1266"/>
      <c r="G342" s="1266"/>
      <c r="H342" s="1266"/>
      <c r="I342" s="1266"/>
      <c r="J342" s="1266"/>
      <c r="K342" s="1266"/>
      <c r="L342" s="1266"/>
      <c r="M342" s="1266"/>
      <c r="N342" s="1266"/>
      <c r="O342" s="1266"/>
      <c r="P342" s="1266"/>
      <c r="Q342" s="1266"/>
      <c r="R342" s="1266"/>
      <c r="S342" s="1266"/>
      <c r="T342" s="1266"/>
      <c r="U342" s="1266"/>
      <c r="V342" s="1266"/>
      <c r="W342" s="1266"/>
      <c r="X342" s="1266"/>
      <c r="Y342" s="1266"/>
      <c r="Z342" s="1266"/>
      <c r="AA342" s="1266"/>
      <c r="AB342" s="1266"/>
      <c r="AC342" s="1266"/>
      <c r="AD342" s="1266"/>
      <c r="AE342" s="1266"/>
      <c r="AF342" s="1266"/>
      <c r="AG342" s="1266"/>
      <c r="AH342" s="1266"/>
      <c r="AI342" s="1266"/>
      <c r="AJ342" s="1266"/>
      <c r="AK342" s="1266"/>
    </row>
    <row r="343" spans="2:37">
      <c r="B343" s="2"/>
      <c r="E343" s="1266"/>
      <c r="F343" s="1266"/>
      <c r="G343" s="1266"/>
      <c r="H343" s="1266"/>
      <c r="I343" s="1266"/>
      <c r="J343" s="1266"/>
      <c r="K343" s="1266"/>
      <c r="L343" s="1266"/>
      <c r="M343" s="1266"/>
      <c r="N343" s="1266"/>
      <c r="O343" s="1266"/>
      <c r="P343" s="1266"/>
      <c r="Q343" s="1266"/>
      <c r="R343" s="1266"/>
      <c r="S343" s="1266"/>
      <c r="T343" s="1266"/>
      <c r="U343" s="1266"/>
      <c r="V343" s="1266"/>
      <c r="W343" s="1266"/>
      <c r="X343" s="1266"/>
      <c r="Y343" s="1266"/>
      <c r="Z343" s="1266"/>
      <c r="AA343" s="1266"/>
      <c r="AB343" s="1266"/>
      <c r="AC343" s="1266"/>
      <c r="AD343" s="1266"/>
      <c r="AE343" s="1266"/>
      <c r="AF343" s="1266"/>
      <c r="AG343" s="1266"/>
      <c r="AH343" s="1266"/>
      <c r="AI343" s="1266"/>
      <c r="AJ343" s="1266"/>
      <c r="AK343" s="1266"/>
    </row>
    <row r="344" spans="2:37">
      <c r="B344" s="2"/>
      <c r="E344" s="1266"/>
      <c r="F344" s="1266"/>
      <c r="G344" s="1266"/>
      <c r="H344" s="1266"/>
      <c r="I344" s="1266"/>
      <c r="J344" s="1266"/>
      <c r="K344" s="1266"/>
      <c r="L344" s="1266"/>
      <c r="M344" s="1266"/>
      <c r="N344" s="1266"/>
      <c r="O344" s="1266"/>
      <c r="P344" s="1266"/>
      <c r="Q344" s="1266"/>
      <c r="R344" s="1266"/>
      <c r="S344" s="1266"/>
      <c r="T344" s="1266"/>
      <c r="U344" s="1266"/>
      <c r="V344" s="1266"/>
      <c r="W344" s="1266"/>
      <c r="X344" s="1266"/>
      <c r="Y344" s="1266"/>
      <c r="Z344" s="1266"/>
      <c r="AA344" s="1266"/>
      <c r="AB344" s="1266"/>
      <c r="AC344" s="1266"/>
      <c r="AD344" s="1266"/>
      <c r="AE344" s="1266"/>
      <c r="AF344" s="1266"/>
      <c r="AG344" s="1266"/>
      <c r="AH344" s="1266"/>
      <c r="AI344" s="1266"/>
      <c r="AJ344" s="1266"/>
      <c r="AK344" s="1266"/>
    </row>
    <row r="345" spans="2:37">
      <c r="B345" s="2"/>
      <c r="E345" s="1266"/>
      <c r="F345" s="1266"/>
      <c r="G345" s="1266"/>
      <c r="H345" s="1266"/>
      <c r="I345" s="1266"/>
      <c r="J345" s="1266"/>
      <c r="K345" s="1266"/>
      <c r="L345" s="1266"/>
      <c r="M345" s="1266"/>
      <c r="N345" s="1266"/>
      <c r="O345" s="1266"/>
      <c r="P345" s="1266"/>
      <c r="Q345" s="1266"/>
      <c r="R345" s="1266"/>
      <c r="S345" s="1266"/>
      <c r="T345" s="1266"/>
      <c r="U345" s="1266"/>
      <c r="V345" s="1266"/>
      <c r="W345" s="1266"/>
      <c r="X345" s="1266"/>
      <c r="Y345" s="1266"/>
      <c r="Z345" s="1266"/>
      <c r="AA345" s="1266"/>
      <c r="AB345" s="1266"/>
      <c r="AC345" s="1266"/>
      <c r="AD345" s="1266"/>
      <c r="AE345" s="1266"/>
      <c r="AF345" s="1266"/>
      <c r="AG345" s="1266"/>
      <c r="AH345" s="1266"/>
      <c r="AI345" s="1266"/>
      <c r="AJ345" s="1266"/>
      <c r="AK345" s="1266"/>
    </row>
    <row r="346" spans="2:37">
      <c r="B346" s="2"/>
      <c r="E346" s="3" t="s">
        <v>112</v>
      </c>
      <c r="F346" s="1263" t="s">
        <v>1236</v>
      </c>
      <c r="G346" s="1263"/>
      <c r="H346" s="1263"/>
      <c r="I346" s="1263"/>
      <c r="J346" s="1263"/>
      <c r="K346" s="1263"/>
      <c r="L346" s="1263"/>
      <c r="M346" s="1263"/>
      <c r="N346" s="1263"/>
      <c r="O346" s="1263"/>
      <c r="P346" s="1263"/>
      <c r="Q346" s="1263"/>
      <c r="R346" s="1263"/>
      <c r="S346" s="1263"/>
      <c r="T346" s="1263"/>
      <c r="U346" s="1263"/>
      <c r="V346" s="1263"/>
      <c r="W346" s="1263"/>
      <c r="X346" s="1263"/>
      <c r="Y346" s="1263"/>
      <c r="Z346" s="1263"/>
      <c r="AA346" s="1263"/>
      <c r="AB346" s="1263"/>
      <c r="AC346" s="1263"/>
      <c r="AD346" s="1263"/>
      <c r="AE346" s="1263"/>
      <c r="AF346" s="1263"/>
      <c r="AG346" s="1263"/>
      <c r="AH346" s="1263"/>
      <c r="AI346" s="1263"/>
      <c r="AJ346" s="1263"/>
      <c r="AK346" s="1263"/>
    </row>
    <row r="347" spans="2:37">
      <c r="B347" s="2"/>
      <c r="E347" s="3"/>
      <c r="F347" s="1263"/>
      <c r="G347" s="1263"/>
      <c r="H347" s="1263"/>
      <c r="I347" s="1263"/>
      <c r="J347" s="1263"/>
      <c r="K347" s="1263"/>
      <c r="L347" s="1263"/>
      <c r="M347" s="1263"/>
      <c r="N347" s="1263"/>
      <c r="O347" s="1263"/>
      <c r="P347" s="1263"/>
      <c r="Q347" s="1263"/>
      <c r="R347" s="1263"/>
      <c r="S347" s="1263"/>
      <c r="T347" s="1263"/>
      <c r="U347" s="1263"/>
      <c r="V347" s="1263"/>
      <c r="W347" s="1263"/>
      <c r="X347" s="1263"/>
      <c r="Y347" s="1263"/>
      <c r="Z347" s="1263"/>
      <c r="AA347" s="1263"/>
      <c r="AB347" s="1263"/>
      <c r="AC347" s="1263"/>
      <c r="AD347" s="1263"/>
      <c r="AE347" s="1263"/>
      <c r="AF347" s="1263"/>
      <c r="AG347" s="1263"/>
      <c r="AH347" s="1263"/>
      <c r="AI347" s="1263"/>
      <c r="AJ347" s="1263"/>
      <c r="AK347" s="1263"/>
    </row>
    <row r="348" spans="2:37">
      <c r="B348" s="2"/>
      <c r="E348" s="3"/>
      <c r="F348" s="1263"/>
      <c r="G348" s="1263"/>
      <c r="H348" s="1263"/>
      <c r="I348" s="1263"/>
      <c r="J348" s="1263"/>
      <c r="K348" s="1263"/>
      <c r="L348" s="1263"/>
      <c r="M348" s="1263"/>
      <c r="N348" s="1263"/>
      <c r="O348" s="1263"/>
      <c r="P348" s="1263"/>
      <c r="Q348" s="1263"/>
      <c r="R348" s="1263"/>
      <c r="S348" s="1263"/>
      <c r="T348" s="1263"/>
      <c r="U348" s="1263"/>
      <c r="V348" s="1263"/>
      <c r="W348" s="1263"/>
      <c r="X348" s="1263"/>
      <c r="Y348" s="1263"/>
      <c r="Z348" s="1263"/>
      <c r="AA348" s="1263"/>
      <c r="AB348" s="1263"/>
      <c r="AC348" s="1263"/>
      <c r="AD348" s="1263"/>
      <c r="AE348" s="1263"/>
      <c r="AF348" s="1263"/>
      <c r="AG348" s="1263"/>
      <c r="AH348" s="1263"/>
      <c r="AI348" s="1263"/>
      <c r="AJ348" s="1263"/>
      <c r="AK348" s="1263"/>
    </row>
    <row r="349" spans="2:37">
      <c r="B349" s="2"/>
      <c r="E349" s="3"/>
      <c r="F349" s="1263"/>
      <c r="G349" s="1263"/>
      <c r="H349" s="1263"/>
      <c r="I349" s="1263"/>
      <c r="J349" s="1263"/>
      <c r="K349" s="1263"/>
      <c r="L349" s="1263"/>
      <c r="M349" s="1263"/>
      <c r="N349" s="1263"/>
      <c r="O349" s="1263"/>
      <c r="P349" s="1263"/>
      <c r="Q349" s="1263"/>
      <c r="R349" s="1263"/>
      <c r="S349" s="1263"/>
      <c r="T349" s="1263"/>
      <c r="U349" s="1263"/>
      <c r="V349" s="1263"/>
      <c r="W349" s="1263"/>
      <c r="X349" s="1263"/>
      <c r="Y349" s="1263"/>
      <c r="Z349" s="1263"/>
      <c r="AA349" s="1263"/>
      <c r="AB349" s="1263"/>
      <c r="AC349" s="1263"/>
      <c r="AD349" s="1263"/>
      <c r="AE349" s="1263"/>
      <c r="AF349" s="1263"/>
      <c r="AG349" s="1263"/>
      <c r="AH349" s="1263"/>
      <c r="AI349" s="1263"/>
      <c r="AJ349" s="1263"/>
      <c r="AK349" s="1263"/>
    </row>
    <row r="350" spans="2:37">
      <c r="B350" s="2"/>
      <c r="E350" s="3" t="s">
        <v>113</v>
      </c>
      <c r="F350" s="1263" t="s">
        <v>1235</v>
      </c>
      <c r="G350" s="1263"/>
      <c r="H350" s="1263"/>
      <c r="I350" s="1263"/>
      <c r="J350" s="1263"/>
      <c r="K350" s="1263"/>
      <c r="L350" s="1263"/>
      <c r="M350" s="1263"/>
      <c r="N350" s="1263"/>
      <c r="O350" s="1263"/>
      <c r="P350" s="1263"/>
      <c r="Q350" s="1263"/>
      <c r="R350" s="1263"/>
      <c r="S350" s="1263"/>
      <c r="T350" s="1263"/>
      <c r="U350" s="1263"/>
      <c r="V350" s="1263"/>
      <c r="W350" s="1263"/>
      <c r="X350" s="1263"/>
      <c r="Y350" s="1263"/>
      <c r="Z350" s="1263"/>
      <c r="AA350" s="1263"/>
      <c r="AB350" s="1263"/>
      <c r="AC350" s="1263"/>
      <c r="AD350" s="1263"/>
      <c r="AE350" s="1263"/>
      <c r="AF350" s="1263"/>
      <c r="AG350" s="1263"/>
      <c r="AH350" s="1263"/>
      <c r="AI350" s="1263"/>
      <c r="AJ350" s="1263"/>
      <c r="AK350" s="1263"/>
    </row>
    <row r="351" spans="2:37">
      <c r="B351" s="2"/>
      <c r="F351" s="1263"/>
      <c r="G351" s="1263"/>
      <c r="H351" s="1263"/>
      <c r="I351" s="1263"/>
      <c r="J351" s="1263"/>
      <c r="K351" s="1263"/>
      <c r="L351" s="1263"/>
      <c r="M351" s="1263"/>
      <c r="N351" s="1263"/>
      <c r="O351" s="1263"/>
      <c r="P351" s="1263"/>
      <c r="Q351" s="1263"/>
      <c r="R351" s="1263"/>
      <c r="S351" s="1263"/>
      <c r="T351" s="1263"/>
      <c r="U351" s="1263"/>
      <c r="V351" s="1263"/>
      <c r="W351" s="1263"/>
      <c r="X351" s="1263"/>
      <c r="Y351" s="1263"/>
      <c r="Z351" s="1263"/>
      <c r="AA351" s="1263"/>
      <c r="AB351" s="1263"/>
      <c r="AC351" s="1263"/>
      <c r="AD351" s="1263"/>
      <c r="AE351" s="1263"/>
      <c r="AF351" s="1263"/>
      <c r="AG351" s="1263"/>
      <c r="AH351" s="1263"/>
      <c r="AI351" s="1263"/>
      <c r="AJ351" s="1263"/>
      <c r="AK351" s="1263"/>
    </row>
    <row r="352" spans="2:37">
      <c r="B352" s="2"/>
      <c r="F352" s="1263"/>
      <c r="G352" s="1263"/>
      <c r="H352" s="1263"/>
      <c r="I352" s="1263"/>
      <c r="J352" s="1263"/>
      <c r="K352" s="1263"/>
      <c r="L352" s="1263"/>
      <c r="M352" s="1263"/>
      <c r="N352" s="1263"/>
      <c r="O352" s="1263"/>
      <c r="P352" s="1263"/>
      <c r="Q352" s="1263"/>
      <c r="R352" s="1263"/>
      <c r="S352" s="1263"/>
      <c r="T352" s="1263"/>
      <c r="U352" s="1263"/>
      <c r="V352" s="1263"/>
      <c r="W352" s="1263"/>
      <c r="X352" s="1263"/>
      <c r="Y352" s="1263"/>
      <c r="Z352" s="1263"/>
      <c r="AA352" s="1263"/>
      <c r="AB352" s="1263"/>
      <c r="AC352" s="1263"/>
      <c r="AD352" s="1263"/>
      <c r="AE352" s="1263"/>
      <c r="AF352" s="1263"/>
      <c r="AG352" s="1263"/>
      <c r="AH352" s="1263"/>
      <c r="AI352" s="1263"/>
      <c r="AJ352" s="1263"/>
      <c r="AK352" s="1263"/>
    </row>
    <row r="353" spans="1:38">
      <c r="B353" s="2"/>
      <c r="F353" s="4"/>
      <c r="H353" s="4"/>
      <c r="I353" s="4"/>
      <c r="J353" s="4"/>
      <c r="K353" s="4"/>
      <c r="L353" s="4"/>
      <c r="M353" s="4"/>
      <c r="N353" s="4"/>
      <c r="O353" s="4"/>
      <c r="P353" s="4"/>
      <c r="Q353" s="4"/>
      <c r="R353" s="4"/>
      <c r="S353" s="4"/>
    </row>
    <row r="354" spans="1:38">
      <c r="A354" s="5"/>
      <c r="B354" s="11" t="s">
        <v>752</v>
      </c>
      <c r="C354" s="11" t="s">
        <v>616</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15" customHeight="1">
      <c r="B356" s="2"/>
      <c r="C356" s="11" t="s">
        <v>1217</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1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206</v>
      </c>
      <c r="E358" s="2" t="s">
        <v>122</v>
      </c>
      <c r="I358" s="4"/>
      <c r="J358" s="4"/>
      <c r="K358" s="4"/>
      <c r="L358" s="4"/>
      <c r="M358" s="4"/>
      <c r="N358" s="4"/>
      <c r="O358" s="4"/>
      <c r="P358" s="4"/>
      <c r="Q358" s="4"/>
      <c r="R358" s="4"/>
      <c r="S358" s="4"/>
    </row>
    <row r="359" spans="1:38">
      <c r="B359" s="2"/>
      <c r="E359" t="s">
        <v>112</v>
      </c>
      <c r="F359" s="4" t="s">
        <v>743</v>
      </c>
      <c r="I359" s="4"/>
      <c r="J359" s="4"/>
      <c r="K359" s="4"/>
      <c r="L359" s="4"/>
      <c r="M359" s="4"/>
      <c r="N359" s="4"/>
      <c r="O359" s="4"/>
      <c r="P359" s="4"/>
      <c r="Q359" s="4"/>
      <c r="R359" s="4"/>
      <c r="S359" s="4"/>
    </row>
    <row r="360" spans="1:38">
      <c r="B360" s="2"/>
      <c r="F360" s="4" t="s">
        <v>744</v>
      </c>
      <c r="I360" s="4"/>
      <c r="J360" s="4"/>
      <c r="K360" s="4"/>
      <c r="L360" s="4"/>
      <c r="M360" s="4"/>
      <c r="N360" s="4"/>
      <c r="O360" s="4"/>
      <c r="P360" s="4"/>
      <c r="Q360" s="4"/>
      <c r="R360" s="4"/>
      <c r="S360" s="4"/>
    </row>
    <row r="361" spans="1:38">
      <c r="B361" s="2"/>
      <c r="F361" s="4" t="s">
        <v>872</v>
      </c>
      <c r="G361" s="4"/>
      <c r="K361" s="4"/>
      <c r="L361" s="4"/>
      <c r="M361" s="4"/>
      <c r="N361" s="4"/>
      <c r="O361" s="4"/>
      <c r="P361" s="4"/>
      <c r="Q361" s="4"/>
      <c r="R361" s="4"/>
      <c r="S361" s="4"/>
    </row>
    <row r="362" spans="1:38">
      <c r="B362" s="2"/>
      <c r="E362" t="s">
        <v>113</v>
      </c>
      <c r="F362" s="4" t="s">
        <v>871</v>
      </c>
      <c r="I362" s="4"/>
      <c r="J362" s="4"/>
      <c r="K362" s="4"/>
      <c r="L362" s="4"/>
      <c r="M362" s="4"/>
      <c r="N362" s="4"/>
      <c r="O362" s="4"/>
      <c r="P362" s="4"/>
      <c r="Q362" s="4"/>
      <c r="R362" s="4"/>
      <c r="S362" s="4"/>
    </row>
    <row r="363" spans="1:38">
      <c r="B363" s="2"/>
      <c r="E363" t="s">
        <v>119</v>
      </c>
      <c r="F363" s="4" t="s">
        <v>745</v>
      </c>
      <c r="I363" s="4"/>
      <c r="J363" s="4"/>
      <c r="K363" s="4"/>
      <c r="L363" s="4"/>
      <c r="M363" s="4"/>
      <c r="N363" s="4"/>
      <c r="O363" s="4"/>
      <c r="P363" s="4"/>
      <c r="Q363" s="4"/>
      <c r="R363" s="4"/>
      <c r="S363" s="4"/>
    </row>
    <row r="364" spans="1:38">
      <c r="B364" s="2"/>
      <c r="F364" s="4" t="s">
        <v>746</v>
      </c>
      <c r="J364" s="4"/>
      <c r="K364" s="4"/>
      <c r="L364" s="4"/>
      <c r="M364" s="4"/>
      <c r="N364" s="4"/>
      <c r="O364" s="4"/>
      <c r="P364" s="4"/>
      <c r="Q364" s="4"/>
      <c r="R364" s="4"/>
      <c r="S364" s="4"/>
    </row>
    <row r="365" spans="1:38">
      <c r="B365" s="2"/>
      <c r="E365" s="1267" t="s">
        <v>1225</v>
      </c>
      <c r="F365" s="1267"/>
      <c r="G365" s="1267"/>
      <c r="H365" s="1267"/>
      <c r="I365" s="1267"/>
      <c r="J365" s="1267"/>
      <c r="K365" s="1267"/>
      <c r="L365" s="1267"/>
      <c r="M365" s="1267"/>
      <c r="N365" s="1267"/>
      <c r="O365" s="1267"/>
      <c r="P365" s="1267"/>
      <c r="Q365" s="1267"/>
      <c r="R365" s="1267"/>
      <c r="S365" s="1267"/>
      <c r="T365" s="1267"/>
      <c r="U365" s="1267"/>
      <c r="V365" s="1267"/>
      <c r="W365" s="1267"/>
      <c r="X365" s="1267"/>
      <c r="Y365" s="1267"/>
      <c r="Z365" s="1267"/>
      <c r="AA365" s="1267"/>
      <c r="AB365" s="1267"/>
      <c r="AC365" s="1267"/>
      <c r="AD365" s="1267"/>
      <c r="AE365" s="1267"/>
      <c r="AF365" s="1267"/>
      <c r="AG365" s="1267"/>
      <c r="AH365" s="1267"/>
      <c r="AI365" s="1267"/>
      <c r="AJ365" s="1267"/>
      <c r="AK365" s="1267"/>
      <c r="AL365" s="1267"/>
    </row>
    <row r="366" spans="1:38">
      <c r="B366" s="2"/>
      <c r="E366" s="1267"/>
      <c r="F366" s="1267"/>
      <c r="G366" s="1267"/>
      <c r="H366" s="1267"/>
      <c r="I366" s="1267"/>
      <c r="J366" s="1267"/>
      <c r="K366" s="1267"/>
      <c r="L366" s="1267"/>
      <c r="M366" s="1267"/>
      <c r="N366" s="1267"/>
      <c r="O366" s="1267"/>
      <c r="P366" s="1267"/>
      <c r="Q366" s="1267"/>
      <c r="R366" s="1267"/>
      <c r="S366" s="1267"/>
      <c r="T366" s="1267"/>
      <c r="U366" s="1267"/>
      <c r="V366" s="1267"/>
      <c r="W366" s="1267"/>
      <c r="X366" s="1267"/>
      <c r="Y366" s="1267"/>
      <c r="Z366" s="1267"/>
      <c r="AA366" s="1267"/>
      <c r="AB366" s="1267"/>
      <c r="AC366" s="1267"/>
      <c r="AD366" s="1267"/>
      <c r="AE366" s="1267"/>
      <c r="AF366" s="1267"/>
      <c r="AG366" s="1267"/>
      <c r="AH366" s="1267"/>
      <c r="AI366" s="1267"/>
      <c r="AJ366" s="1267"/>
      <c r="AK366" s="1267"/>
      <c r="AL366" s="1267"/>
    </row>
    <row r="367" spans="1:38" s="1269" customFormat="1">
      <c r="A367"/>
      <c r="B367" s="2"/>
      <c r="C367"/>
      <c r="D367"/>
      <c r="E367" s="1268" t="s">
        <v>1257</v>
      </c>
    </row>
    <row r="368" spans="1:38" s="1269"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340</v>
      </c>
      <c r="E370" s="2" t="s">
        <v>568</v>
      </c>
      <c r="J370" s="4"/>
      <c r="K370" s="4"/>
      <c r="L370" s="4"/>
      <c r="M370" s="4"/>
      <c r="N370" s="4"/>
      <c r="O370" s="4"/>
      <c r="P370" s="4"/>
      <c r="Q370" s="4"/>
      <c r="R370" s="4"/>
      <c r="S370" s="4"/>
    </row>
    <row r="371" spans="1:38">
      <c r="B371" s="2"/>
      <c r="E371" s="4" t="s">
        <v>747</v>
      </c>
      <c r="F371" s="4"/>
      <c r="G371" s="4"/>
      <c r="H371" s="4"/>
      <c r="I371" s="4"/>
      <c r="J371" s="4"/>
      <c r="K371" s="4"/>
      <c r="L371" s="4"/>
      <c r="M371" s="4"/>
      <c r="N371" s="4"/>
      <c r="O371" s="4"/>
      <c r="P371" s="4"/>
      <c r="Q371" s="4"/>
      <c r="R371" s="4"/>
      <c r="S371" s="4"/>
    </row>
    <row r="372" spans="1:38">
      <c r="B372" s="2"/>
      <c r="E372" s="4" t="s">
        <v>748</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574</v>
      </c>
      <c r="E374" s="2" t="s">
        <v>281</v>
      </c>
      <c r="J374" s="4"/>
      <c r="K374" s="4"/>
      <c r="L374" s="4"/>
      <c r="M374" s="4"/>
      <c r="N374" s="4"/>
      <c r="O374" s="4"/>
      <c r="P374" s="4"/>
      <c r="Q374" s="4"/>
      <c r="R374" s="4"/>
      <c r="S374" s="4"/>
    </row>
    <row r="375" spans="1:38">
      <c r="B375" s="2"/>
      <c r="E375" s="4" t="s">
        <v>112</v>
      </c>
      <c r="F375" s="4" t="s">
        <v>250</v>
      </c>
      <c r="G375" s="4"/>
      <c r="I375" s="4"/>
      <c r="J375" s="4"/>
      <c r="K375" s="4"/>
      <c r="L375" s="4"/>
      <c r="M375" s="4"/>
      <c r="N375" s="4"/>
      <c r="O375" s="4"/>
      <c r="P375" s="4"/>
      <c r="Q375" s="4"/>
      <c r="R375" s="4"/>
      <c r="S375" s="4"/>
    </row>
    <row r="376" spans="1:38">
      <c r="B376" s="2"/>
      <c r="E376" s="4"/>
      <c r="F376" s="120" t="s">
        <v>1152</v>
      </c>
      <c r="G376" s="4"/>
      <c r="I376" s="120"/>
      <c r="J376" s="4"/>
      <c r="K376" s="4"/>
      <c r="L376" s="4"/>
      <c r="M376" s="4"/>
      <c r="N376" s="4"/>
      <c r="O376" s="4"/>
      <c r="P376" s="4"/>
      <c r="Q376" s="4"/>
      <c r="R376" s="4"/>
      <c r="S376" s="4"/>
    </row>
    <row r="377" spans="1:38">
      <c r="B377" s="2"/>
      <c r="E377" s="4" t="s">
        <v>113</v>
      </c>
      <c r="F377" s="4" t="s">
        <v>251</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514</v>
      </c>
      <c r="E379" s="2" t="s">
        <v>1258</v>
      </c>
      <c r="J379" s="3"/>
      <c r="K379" s="3"/>
      <c r="L379" s="3"/>
      <c r="M379" s="3"/>
      <c r="N379" s="3"/>
      <c r="O379" s="3"/>
      <c r="P379" s="3"/>
      <c r="Q379" s="3"/>
      <c r="R379" s="3"/>
      <c r="S379" s="3"/>
    </row>
    <row r="380" spans="1:38">
      <c r="B380" s="2"/>
      <c r="D380" s="2"/>
      <c r="E380" s="3" t="s">
        <v>747</v>
      </c>
      <c r="F380" s="3"/>
      <c r="G380" s="3"/>
      <c r="J380" s="3"/>
      <c r="K380" s="3"/>
      <c r="L380" s="3"/>
      <c r="M380" s="3"/>
      <c r="N380" s="3"/>
      <c r="O380" s="3"/>
      <c r="P380" s="3"/>
      <c r="Q380" s="3"/>
      <c r="R380" s="3"/>
      <c r="S380" s="3"/>
    </row>
    <row r="381" spans="1:38">
      <c r="B381" s="2"/>
      <c r="D381" s="2"/>
      <c r="E381" s="3" t="s">
        <v>1155</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302</v>
      </c>
      <c r="E383" s="2" t="s">
        <v>283</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1259</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1152</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3" t="s">
        <v>1268</v>
      </c>
      <c r="G386" s="1263"/>
      <c r="H386" s="1263"/>
      <c r="I386" s="1263"/>
      <c r="J386" s="1263"/>
      <c r="K386" s="1263"/>
      <c r="L386" s="1263"/>
      <c r="M386" s="1263"/>
      <c r="N386" s="1263"/>
      <c r="O386" s="1263"/>
      <c r="P386" s="1263"/>
      <c r="Q386" s="1263"/>
      <c r="R386" s="1263"/>
      <c r="S386" s="1263"/>
      <c r="T386" s="1263"/>
      <c r="U386" s="1263"/>
      <c r="V386" s="1263"/>
      <c r="W386" s="1263"/>
      <c r="X386" s="1263"/>
      <c r="Y386" s="1263"/>
      <c r="Z386" s="1263"/>
      <c r="AA386" s="1263"/>
      <c r="AB386" s="1263"/>
      <c r="AC386" s="1263"/>
      <c r="AD386" s="1263"/>
      <c r="AE386" s="1263"/>
      <c r="AF386" s="1263"/>
      <c r="AG386" s="1263"/>
      <c r="AH386" s="1263"/>
      <c r="AI386" s="1263"/>
      <c r="AJ386" s="1263"/>
      <c r="AK386" s="1263"/>
    </row>
    <row r="387" spans="1:38">
      <c r="B387" s="2"/>
      <c r="E387" s="3"/>
      <c r="F387" s="1263"/>
      <c r="G387" s="1263"/>
      <c r="H387" s="1263"/>
      <c r="I387" s="1263"/>
      <c r="J387" s="1263"/>
      <c r="K387" s="1263"/>
      <c r="L387" s="1263"/>
      <c r="M387" s="1263"/>
      <c r="N387" s="1263"/>
      <c r="O387" s="1263"/>
      <c r="P387" s="1263"/>
      <c r="Q387" s="1263"/>
      <c r="R387" s="1263"/>
      <c r="S387" s="1263"/>
      <c r="T387" s="1263"/>
      <c r="U387" s="1263"/>
      <c r="V387" s="1263"/>
      <c r="W387" s="1263"/>
      <c r="X387" s="1263"/>
      <c r="Y387" s="1263"/>
      <c r="Z387" s="1263"/>
      <c r="AA387" s="1263"/>
      <c r="AB387" s="1263"/>
      <c r="AC387" s="1263"/>
      <c r="AD387" s="1263"/>
      <c r="AE387" s="1263"/>
      <c r="AF387" s="1263"/>
      <c r="AG387" s="1263"/>
      <c r="AH387" s="1263"/>
      <c r="AI387" s="1263"/>
      <c r="AJ387" s="1263"/>
      <c r="AK387" s="1263"/>
    </row>
    <row r="388" spans="1:38">
      <c r="B388" s="2"/>
      <c r="E388" s="3"/>
      <c r="F388" s="1263"/>
      <c r="G388" s="1263"/>
      <c r="H388" s="1263"/>
      <c r="I388" s="1263"/>
      <c r="J388" s="1263"/>
      <c r="K388" s="1263"/>
      <c r="L388" s="1263"/>
      <c r="M388" s="1263"/>
      <c r="N388" s="1263"/>
      <c r="O388" s="1263"/>
      <c r="P388" s="1263"/>
      <c r="Q388" s="1263"/>
      <c r="R388" s="1263"/>
      <c r="S388" s="1263"/>
      <c r="T388" s="1263"/>
      <c r="U388" s="1263"/>
      <c r="V388" s="1263"/>
      <c r="W388" s="1263"/>
      <c r="X388" s="1263"/>
      <c r="Y388" s="1263"/>
      <c r="Z388" s="1263"/>
      <c r="AA388" s="1263"/>
      <c r="AB388" s="1263"/>
      <c r="AC388" s="1263"/>
      <c r="AD388" s="1263"/>
      <c r="AE388" s="1263"/>
      <c r="AF388" s="1263"/>
      <c r="AG388" s="1263"/>
      <c r="AH388" s="1263"/>
      <c r="AI388" s="1263"/>
      <c r="AJ388" s="1263"/>
      <c r="AK388" s="1263"/>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428</v>
      </c>
      <c r="E390" s="2" t="s">
        <v>1274</v>
      </c>
      <c r="F390" s="3"/>
      <c r="G390" s="2"/>
      <c r="I390" s="120"/>
      <c r="J390" s="3"/>
      <c r="K390" s="3"/>
      <c r="L390" s="3"/>
      <c r="M390" s="3"/>
      <c r="N390" s="3"/>
      <c r="O390" s="3"/>
      <c r="P390" s="3"/>
      <c r="Q390" s="3"/>
      <c r="R390" s="3"/>
      <c r="S390" s="3"/>
    </row>
    <row r="391" spans="1:38" ht="13.15" customHeight="1">
      <c r="B391" s="2"/>
      <c r="D391" s="2"/>
      <c r="E391" s="3" t="s">
        <v>1273</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1155</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 ref="G80:AK82"/>
    <mergeCell ref="E35:AK35"/>
    <mergeCell ref="E36:AK36"/>
    <mergeCell ref="G64:AK66"/>
    <mergeCell ref="G70:AK71"/>
    <mergeCell ref="G54:AK54"/>
    <mergeCell ref="F386:AK388"/>
    <mergeCell ref="E341:AK345"/>
    <mergeCell ref="F350:AK352"/>
    <mergeCell ref="E365:AL366"/>
    <mergeCell ref="E367:XFD368"/>
    <mergeCell ref="F346:AK349"/>
    <mergeCell ref="A1:AL2"/>
    <mergeCell ref="D7:AK9"/>
    <mergeCell ref="D11:AK13"/>
    <mergeCell ref="D33:AK34"/>
    <mergeCell ref="F48:AK50"/>
    <mergeCell ref="D15:AK17"/>
    <mergeCell ref="J18:AK1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tabSelected="1" workbookViewId="0">
      <selection activeCell="I12" sqref="I12"/>
    </sheetView>
  </sheetViews>
  <sheetFormatPr defaultColWidth="9.140625" defaultRowHeight="14.25"/>
  <cols>
    <col min="1" max="1" width="2.42578125" style="1044" customWidth="1"/>
    <col min="2" max="9" width="14.7109375" style="1044" customWidth="1"/>
    <col min="10" max="10" width="2.28515625" style="1044" customWidth="1"/>
    <col min="11" max="11" width="11.85546875" style="1045" customWidth="1"/>
    <col min="12" max="12" width="10.7109375" style="1044" customWidth="1"/>
    <col min="13" max="13" width="10.42578125" style="1044" customWidth="1"/>
    <col min="14" max="14" width="10.85546875" style="1044" customWidth="1"/>
    <col min="15" max="18" width="9.140625" style="1044"/>
    <col min="19" max="19" width="9.42578125" style="1044" bestFit="1" customWidth="1"/>
    <col min="20" max="16384" width="9.140625" style="1044"/>
  </cols>
  <sheetData>
    <row r="1" spans="1:13" ht="30" customHeight="1">
      <c r="A1" s="2655" t="s">
        <v>1584</v>
      </c>
      <c r="B1" s="2655"/>
      <c r="C1" s="2655"/>
      <c r="D1" s="2655"/>
      <c r="E1" s="2655"/>
      <c r="F1" s="2655"/>
      <c r="G1" s="2655"/>
      <c r="H1" s="2655"/>
      <c r="I1" s="2655"/>
      <c r="J1" s="2655"/>
    </row>
    <row r="2" spans="1:13" ht="15" customHeight="1" thickBot="1">
      <c r="A2" s="1046"/>
      <c r="B2" s="1046"/>
      <c r="I2" s="1047"/>
      <c r="K2" s="1048"/>
    </row>
    <row r="3" spans="1:13" s="1051" customFormat="1" ht="20.100000000000001" customHeight="1">
      <c r="A3" s="1100"/>
      <c r="B3" s="1101"/>
      <c r="C3" s="1102"/>
      <c r="D3" s="1107"/>
      <c r="E3" s="1102"/>
      <c r="F3" s="1103" t="s">
        <v>1989</v>
      </c>
      <c r="G3" s="1102"/>
      <c r="H3" s="1104">
        <f>E18</f>
        <v>60055500.000000007</v>
      </c>
      <c r="I3" s="1105"/>
    </row>
    <row r="4" spans="1:13" s="1051" customFormat="1" ht="20.100000000000001" customHeight="1">
      <c r="B4" s="1094"/>
      <c r="D4" s="1108"/>
      <c r="F4" s="1092" t="s">
        <v>1991</v>
      </c>
      <c r="G4" s="1091" t="s">
        <v>1990</v>
      </c>
      <c r="H4" s="1093">
        <f>I18</f>
        <v>42713235.294117644</v>
      </c>
      <c r="I4" s="1095"/>
      <c r="K4" s="1055"/>
    </row>
    <row r="5" spans="1:13" s="1051" customFormat="1" ht="20.100000000000001" customHeight="1" thickBot="1">
      <c r="B5" s="1096"/>
      <c r="C5" s="1097"/>
      <c r="D5" s="1109"/>
      <c r="E5" s="1098"/>
      <c r="F5" s="1109" t="s">
        <v>1941</v>
      </c>
      <c r="G5" s="1110"/>
      <c r="H5" s="1106">
        <f>IFERROR(H3/H4,0)</f>
        <v>1.4060161817868826</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58" t="s">
        <v>1939</v>
      </c>
      <c r="C8" s="2659"/>
      <c r="D8" s="2659"/>
      <c r="E8" s="2660"/>
      <c r="G8" s="2661" t="s">
        <v>1940</v>
      </c>
      <c r="H8" s="2662"/>
      <c r="I8" s="2663"/>
      <c r="K8" s="1057"/>
    </row>
    <row r="9" spans="1:13" ht="15" customHeight="1">
      <c r="A9" s="1046"/>
      <c r="B9" s="2656" t="s">
        <v>1973</v>
      </c>
      <c r="C9" s="2656"/>
      <c r="D9" s="2656"/>
      <c r="E9" s="1059">
        <f>G33</f>
        <v>13705000.000000002</v>
      </c>
      <c r="G9" s="2664" t="s">
        <v>1971</v>
      </c>
      <c r="H9" s="2664"/>
      <c r="I9" s="1060">
        <f>SUMIF(Application!M554:M565,"Loan, Tax-Exempt",Application!AM554:AM565)</f>
        <v>45000000</v>
      </c>
      <c r="K9" s="1061"/>
      <c r="M9" s="1062"/>
    </row>
    <row r="10" spans="1:13" ht="15" customHeight="1" thickBot="1">
      <c r="A10" s="1046"/>
      <c r="B10" s="2656" t="s">
        <v>1974</v>
      </c>
      <c r="C10" s="2656"/>
      <c r="D10" s="2656"/>
      <c r="E10" s="1060">
        <f>G47</f>
        <v>26877600.000000004</v>
      </c>
      <c r="G10" s="2668" t="s">
        <v>1942</v>
      </c>
      <c r="H10" s="2668"/>
      <c r="I10" s="1140">
        <f>'Basis &amp; Credits'!AB78</f>
        <v>0</v>
      </c>
      <c r="M10" s="1062"/>
    </row>
    <row r="11" spans="1:13" ht="15" customHeight="1">
      <c r="A11" s="1046"/>
      <c r="B11" s="2672" t="s">
        <v>2262</v>
      </c>
      <c r="C11" s="2673"/>
      <c r="D11" s="2674"/>
      <c r="E11" s="1060">
        <f>SUM(E12,E13)</f>
        <v>560000</v>
      </c>
      <c r="G11" s="2671" t="s">
        <v>1982</v>
      </c>
      <c r="H11" s="2671"/>
      <c r="I11" s="1139">
        <f>I9+I10</f>
        <v>45000000</v>
      </c>
      <c r="M11" s="1062"/>
    </row>
    <row r="12" spans="1:13" ht="15" customHeight="1">
      <c r="A12" s="1063"/>
      <c r="B12" s="2657" t="s">
        <v>2264</v>
      </c>
      <c r="C12" s="2657"/>
      <c r="D12" s="2657"/>
      <c r="E12" s="1165">
        <f>G56</f>
        <v>0</v>
      </c>
      <c r="M12" s="1062"/>
    </row>
    <row r="13" spans="1:13" ht="15" customHeight="1">
      <c r="A13" s="1049"/>
      <c r="B13" s="2657" t="s">
        <v>2265</v>
      </c>
      <c r="C13" s="2657"/>
      <c r="D13" s="2657"/>
      <c r="E13" s="1165">
        <f>G65</f>
        <v>560000</v>
      </c>
      <c r="G13" s="2661" t="s">
        <v>2005</v>
      </c>
      <c r="H13" s="2662"/>
      <c r="I13" s="2663"/>
      <c r="M13" s="1062"/>
    </row>
    <row r="14" spans="1:13" ht="15" customHeight="1">
      <c r="A14" s="1049"/>
      <c r="B14" s="2672" t="s">
        <v>2263</v>
      </c>
      <c r="C14" s="2673"/>
      <c r="D14" s="2674"/>
      <c r="E14" s="1167">
        <f>MAX(E15,E16)+E17</f>
        <v>18912900</v>
      </c>
      <c r="G14" s="2664" t="s">
        <v>139</v>
      </c>
      <c r="H14" s="2664"/>
      <c r="I14" s="1064">
        <f>15%*(AND(G120="Yes",G122&lt;&gt;""))</f>
        <v>0</v>
      </c>
      <c r="M14" s="1062"/>
    </row>
    <row r="15" spans="1:13" ht="15" customHeight="1">
      <c r="A15" s="1049"/>
      <c r="B15" s="2675" t="s">
        <v>2269</v>
      </c>
      <c r="C15" s="2676"/>
      <c r="D15" s="2677"/>
      <c r="E15" s="1165">
        <f>G80</f>
        <v>0</v>
      </c>
      <c r="G15" s="1137" t="s">
        <v>1983</v>
      </c>
      <c r="H15" s="1137"/>
      <c r="I15" s="1064">
        <f>IF(Application!AJ1032&gt;0,10%,IF(Application!AJ1036&gt;0,5%,0))</f>
        <v>0.05</v>
      </c>
      <c r="M15" s="1062"/>
    </row>
    <row r="16" spans="1:13" ht="15" customHeight="1">
      <c r="A16" s="1049"/>
      <c r="B16" s="2675" t="s">
        <v>2268</v>
      </c>
      <c r="C16" s="2676"/>
      <c r="D16" s="2677"/>
      <c r="E16" s="1165">
        <f>G90</f>
        <v>0</v>
      </c>
      <c r="G16" s="2664" t="s">
        <v>1984</v>
      </c>
      <c r="H16" s="2664"/>
      <c r="I16" s="1064">
        <f>G132</f>
        <v>8.1699346405228761E-4</v>
      </c>
    </row>
    <row r="17" spans="1:21" ht="15" customHeight="1" thickBot="1">
      <c r="A17" s="1049"/>
      <c r="B17" s="2675" t="s">
        <v>2267</v>
      </c>
      <c r="C17" s="2676"/>
      <c r="D17" s="2677"/>
      <c r="E17" s="1165">
        <f>G115</f>
        <v>18912900</v>
      </c>
      <c r="G17" s="2664" t="s">
        <v>2277</v>
      </c>
      <c r="H17" s="2664"/>
      <c r="I17" s="1064">
        <f>IF(AND(G139="Yes",OR(G136,G137)),IF(G143&gt;15%,15%,G143),0)</f>
        <v>0</v>
      </c>
    </row>
    <row r="18" spans="1:21" ht="15" customHeight="1">
      <c r="A18" s="1046"/>
      <c r="B18" s="2667" t="s">
        <v>1938</v>
      </c>
      <c r="C18" s="2667"/>
      <c r="D18" s="2667"/>
      <c r="E18" s="1111">
        <f>SUM(E9:E11,E14)</f>
        <v>60055500.000000007</v>
      </c>
      <c r="G18" s="1138" t="s">
        <v>1972</v>
      </c>
      <c r="H18" s="1138"/>
      <c r="I18" s="1112">
        <f>I11-((I11*I14)+(I11*I15)+(I11*I16)+(I11*I17))</f>
        <v>42713235.294117644</v>
      </c>
      <c r="M18" s="1065">
        <f>SUM(Cdlac[Quantity])</f>
        <v>269</v>
      </c>
      <c r="O18" s="1084" t="s">
        <v>582</v>
      </c>
      <c r="P18" s="1044">
        <f>MATCH(Application!T189,Application!CB160:CB217,0)</f>
        <v>37</v>
      </c>
      <c r="T18" s="1065">
        <f>SUM(Cdlac[Population])</f>
        <v>0</v>
      </c>
    </row>
    <row r="19" spans="1:21" ht="15" customHeight="1">
      <c r="A19" s="1046"/>
      <c r="B19" s="1046"/>
      <c r="C19" s="1046"/>
      <c r="D19" s="1046"/>
      <c r="E19" s="1046"/>
      <c r="L19" s="1044" t="s">
        <v>1934</v>
      </c>
      <c r="M19" s="1044" t="s">
        <v>1933</v>
      </c>
      <c r="N19" s="1044" t="s">
        <v>1945</v>
      </c>
      <c r="O19" s="1044" t="s">
        <v>1946</v>
      </c>
      <c r="P19" s="1044" t="s">
        <v>1935</v>
      </c>
      <c r="Q19" s="1044" t="s">
        <v>2260</v>
      </c>
      <c r="R19" s="1044" t="s">
        <v>1936</v>
      </c>
      <c r="S19" s="1044" t="s">
        <v>1947</v>
      </c>
      <c r="T19" s="1044" t="s">
        <v>1953</v>
      </c>
      <c r="U19" s="1044" t="s">
        <v>384</v>
      </c>
    </row>
    <row r="20" spans="1:21" ht="15" customHeight="1">
      <c r="B20" s="1066" t="str">
        <f>B9</f>
        <v>A. Unit Production Benefit</v>
      </c>
      <c r="C20" s="1067"/>
      <c r="D20" s="1067"/>
      <c r="E20" s="1067"/>
      <c r="F20" s="1067"/>
      <c r="G20" s="1067"/>
      <c r="H20" s="1067"/>
      <c r="I20" s="1068"/>
      <c r="L20" s="1044">
        <f>IFERROR(MIN(4,MATCH(Application!B718,UnitSizes,0)-1),"")</f>
        <v>0</v>
      </c>
      <c r="M20" s="1065">
        <f>Application!G718</f>
        <v>28</v>
      </c>
      <c r="N20" s="1071">
        <f>Application!AC718</f>
        <v>0.3</v>
      </c>
      <c r="O20" s="1071">
        <f>IF(Cdlac[[#This Row],[Quantity]]&gt;0,IF(Cdlac[[#This Row],[Federal]],30%,IF(AND(OR(NOT($G$38),$G$38=""),$G$43),40%,Cdlac[[#This Row],[iAMI]])),"")</f>
        <v>0.3</v>
      </c>
      <c r="P20" s="1065" cm="1">
        <f t="array" ref="P20">IF(Cdlac[[#This Row],[Quantity]]&gt;0,INDEX(TcacRents,$P$18,Cdlac[[#This Row],[Bedrooms]]+1)*Cdlac[[#This Row],[AMI]],"")</f>
        <v>868.19999999999993</v>
      </c>
      <c r="Q20" s="1164"/>
      <c r="R20" s="1065" cm="1">
        <f t="array" ref="R20">IF(Cdlac[[#This Row],[Quantity]]&gt;0,INDEX(HudFmrs,$P$18,Cdlac[[#This Row],[Bedrooms]]+1),"")</f>
        <v>2145</v>
      </c>
      <c r="S20" s="1065">
        <f>IF(Cdlac[[#This Row],[Quantity]]&gt;0,MAX(0,Cdlac[[#This Row],[Fair Market Rent]]-IF(AND($G$37,$G$38,$G$38&lt;&gt;"",NOT(Cdlac[[#This Row],[Federal]]),Cdlac[[#This Row],[Preservation Rent]]&lt;&gt;""),Cdlac[[#This Row],[Preservation Rent]],Cdlac[[#This Row],[Restricted Rent]])),"")</f>
        <v>1276.8000000000002</v>
      </c>
      <c r="T20" s="1044">
        <f>IF(Cdlac[[#This Row],[Quantity]]&gt;0,AND(Application!AK718&lt;&gt;"N/A",Application!AK718&lt;&gt;"")*Cdlac[[#This Row],[Quantity]],"")</f>
        <v>0</v>
      </c>
      <c r="U20" s="1044" t="b">
        <f>AND('Subsidy Contract Calculation'!F4&gt;0,OR('Subsidy Contract Calculation'!C4="Federal",'Subsidy Contract Calculation'!C4="Local - Approved by ED"),Cdlac[[#This Row],[Quantity]]&gt;0)</f>
        <v>0</v>
      </c>
    </row>
    <row r="21" spans="1:21" ht="15" customHeight="1">
      <c r="A21" s="1046"/>
      <c r="B21" s="1046"/>
      <c r="I21" s="1069"/>
      <c r="L21" s="1044">
        <f>IFERROR(MIN(4,MATCH(Application!B719,UnitSizes,0)-1),"")</f>
        <v>0</v>
      </c>
      <c r="M21" s="1065">
        <f>Application!G719</f>
        <v>7</v>
      </c>
      <c r="N21" s="1071">
        <f>Application!AC719</f>
        <v>0.5</v>
      </c>
      <c r="O21" s="1071">
        <f>IF(Cdlac[[#This Row],[Quantity]]&gt;0,IF(Cdlac[[#This Row],[Federal]],30%,IF(AND(OR(NOT($G$38),$G$38=""),$G$43),40%,Cdlac[[#This Row],[iAMI]])),"")</f>
        <v>0.5</v>
      </c>
      <c r="P21" s="1065" cm="1">
        <f t="array" ref="P21">IF(Cdlac[[#This Row],[Quantity]]&gt;0,INDEX(TcacRents,$P$18,Cdlac[[#This Row],[Bedrooms]]+1)*Cdlac[[#This Row],[AMI]],"")</f>
        <v>1447</v>
      </c>
      <c r="Q21" s="1164"/>
      <c r="R21" s="1065" cm="1">
        <f t="array" ref="R21">IF(Cdlac[[#This Row],[Quantity]]&gt;0,INDEX(HudFmrs,$P$18,Cdlac[[#This Row],[Bedrooms]]+1),"")</f>
        <v>2145</v>
      </c>
      <c r="S21" s="1065">
        <f>IF(Cdlac[[#This Row],[Quantity]]&gt;0,MAX(0,Cdlac[[#This Row],[Fair Market Rent]]-IF(AND($G$37,$G$38,$G$38&lt;&gt;"",NOT(Cdlac[[#This Row],[Federal]]),Cdlac[[#This Row],[Preservation Rent]]&lt;&gt;""),Cdlac[[#This Row],[Preservation Rent]],Cdlac[[#This Row],[Restricted Rent]])),"")</f>
        <v>698</v>
      </c>
      <c r="T21" s="1044">
        <f>IF(Cdlac[[#This Row],[Quantity]]&gt;0,AND(Application!AK719&lt;&gt;"N/A",Application!AK719&lt;&gt;"")*Cdlac[[#This Row],[Quantity]],"")</f>
        <v>0</v>
      </c>
      <c r="U21" s="1044" t="b">
        <f>AND('Subsidy Contract Calculation'!F5&gt;0,OR('Subsidy Contract Calculation'!C5="Federal",'Subsidy Contract Calculation'!C5="Local - Approved by ED"),Cdlac[[#This Row],[Quantity]]&gt;0)</f>
        <v>0</v>
      </c>
    </row>
    <row r="22" spans="1:21" ht="15" customHeight="1">
      <c r="A22" s="1049"/>
      <c r="C22" s="2665" t="s">
        <v>1986</v>
      </c>
      <c r="D22" s="2665" t="s">
        <v>1987</v>
      </c>
      <c r="E22" s="2665" t="s">
        <v>1988</v>
      </c>
      <c r="F22" s="2665" t="s">
        <v>2608</v>
      </c>
      <c r="G22" s="2665" t="s">
        <v>1985</v>
      </c>
      <c r="H22" s="1070"/>
      <c r="I22" s="1069"/>
      <c r="L22" s="1044">
        <f>IFERROR(MIN(4,MATCH(Application!B720,UnitSizes,0)-1),"")</f>
        <v>0</v>
      </c>
      <c r="M22" s="1065">
        <f>Application!G720</f>
        <v>39</v>
      </c>
      <c r="N22" s="1071">
        <f>Application!AC720</f>
        <v>0.6</v>
      </c>
      <c r="O22" s="1071">
        <f>IF(Cdlac[[#This Row],[Quantity]]&gt;0,IF(Cdlac[[#This Row],[Federal]],30%,IF(AND(OR(NOT($G$38),$G$38=""),$G$43),40%,Cdlac[[#This Row],[iAMI]])),"")</f>
        <v>0.6</v>
      </c>
      <c r="P22" s="1065" cm="1">
        <f t="array" ref="P22">IF(Cdlac[[#This Row],[Quantity]]&gt;0,INDEX(TcacRents,$P$18,Cdlac[[#This Row],[Bedrooms]]+1)*Cdlac[[#This Row],[AMI]],"")</f>
        <v>1736.3999999999999</v>
      </c>
      <c r="Q22" s="1164"/>
      <c r="R22" s="1065" cm="1">
        <f t="array" ref="R22">IF(Cdlac[[#This Row],[Quantity]]&gt;0,INDEX(HudFmrs,$P$18,Cdlac[[#This Row],[Bedrooms]]+1),"")</f>
        <v>2145</v>
      </c>
      <c r="S22" s="1065">
        <f>IF(Cdlac[[#This Row],[Quantity]]&gt;0,MAX(0,Cdlac[[#This Row],[Fair Market Rent]]-IF(AND($G$37,$G$38,$G$38&lt;&gt;"",NOT(Cdlac[[#This Row],[Federal]]),Cdlac[[#This Row],[Preservation Rent]]&lt;&gt;""),Cdlac[[#This Row],[Preservation Rent]],Cdlac[[#This Row],[Restricted Rent]])),"")</f>
        <v>408.60000000000014</v>
      </c>
      <c r="T22" s="1044">
        <f>IF(Cdlac[[#This Row],[Quantity]]&gt;0,AND(Application!AK720&lt;&gt;"N/A",Application!AK720&lt;&gt;"")*Cdlac[[#This Row],[Quantity]],"")</f>
        <v>0</v>
      </c>
      <c r="U22" s="1044" t="b">
        <f>AND('Subsidy Contract Calculation'!F6&gt;0,OR('Subsidy Contract Calculation'!C6="Federal",'Subsidy Contract Calculation'!C6="Local - Approved by ED"),Cdlac[[#This Row],[Quantity]]&gt;0)</f>
        <v>0</v>
      </c>
    </row>
    <row r="23" spans="1:21" ht="15" customHeight="1">
      <c r="A23" s="1049"/>
      <c r="C23" s="2666"/>
      <c r="D23" s="2666"/>
      <c r="E23" s="2666"/>
      <c r="F23" s="2666"/>
      <c r="G23" s="2666"/>
      <c r="H23" s="1070"/>
      <c r="I23" s="1069"/>
      <c r="L23" s="1044">
        <f>IFERROR(MIN(4,MATCH(Application!B721,UnitSizes,0)-1),"")</f>
        <v>1</v>
      </c>
      <c r="M23" s="1065">
        <f>Application!G721</f>
        <v>16</v>
      </c>
      <c r="N23" s="1071">
        <f>Application!AC721</f>
        <v>0.5</v>
      </c>
      <c r="O23" s="1071">
        <f>IF(Cdlac[[#This Row],[Quantity]]&gt;0,IF(Cdlac[[#This Row],[Federal]],30%,IF(AND(OR(NOT($G$38),$G$38=""),$G$43),40%,Cdlac[[#This Row],[iAMI]])),"")</f>
        <v>0.5</v>
      </c>
      <c r="P23" s="1065" cm="1">
        <f t="array" ref="P23">IF(Cdlac[[#This Row],[Quantity]]&gt;0,INDEX(TcacRents,$P$18,Cdlac[[#This Row],[Bedrooms]]+1)*Cdlac[[#This Row],[AMI]],"")</f>
        <v>1550</v>
      </c>
      <c r="Q23" s="1164"/>
      <c r="R23" s="1065" cm="1">
        <f t="array" ref="R23">IF(Cdlac[[#This Row],[Quantity]]&gt;0,INDEX(HudFmrs,$P$18,Cdlac[[#This Row],[Bedrooms]]+1),"")</f>
        <v>2328</v>
      </c>
      <c r="S23" s="1065">
        <f>IF(Cdlac[[#This Row],[Quantity]]&gt;0,MAX(0,Cdlac[[#This Row],[Fair Market Rent]]-IF(AND($G$37,$G$38,$G$38&lt;&gt;"",NOT(Cdlac[[#This Row],[Federal]]),Cdlac[[#This Row],[Preservation Rent]]&lt;&gt;""),Cdlac[[#This Row],[Preservation Rent]],Cdlac[[#This Row],[Restricted Rent]])),"")</f>
        <v>778</v>
      </c>
      <c r="T23" s="1044">
        <f>IF(Cdlac[[#This Row],[Quantity]]&gt;0,AND(Application!AK721&lt;&gt;"N/A",Application!AK721&lt;&gt;"")*Cdlac[[#This Row],[Quantity]],"")</f>
        <v>0</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74</v>
      </c>
      <c r="F24" s="1072">
        <f>E24</f>
        <v>74</v>
      </c>
      <c r="G24" s="1072">
        <f>D24*F24</f>
        <v>66.600000000000009</v>
      </c>
      <c r="L24" s="1044">
        <f>IFERROR(MIN(4,MATCH(Application!B722,UnitSizes,0)-1),"")</f>
        <v>1</v>
      </c>
      <c r="M24" s="1065">
        <f>Application!G722</f>
        <v>93</v>
      </c>
      <c r="N24" s="1071">
        <f>Application!AC722</f>
        <v>0.6</v>
      </c>
      <c r="O24" s="1071">
        <f>IF(Cdlac[[#This Row],[Quantity]]&gt;0,IF(Cdlac[[#This Row],[Federal]],30%,IF(AND(OR(NOT($G$38),$G$38=""),$G$43),40%,Cdlac[[#This Row],[iAMI]])),"")</f>
        <v>0.6</v>
      </c>
      <c r="P24" s="1065" cm="1">
        <f t="array" ref="P24">IF(Cdlac[[#This Row],[Quantity]]&gt;0,INDEX(TcacRents,$P$18,Cdlac[[#This Row],[Bedrooms]]+1)*Cdlac[[#This Row],[AMI]],"")</f>
        <v>1860</v>
      </c>
      <c r="Q24" s="1164"/>
      <c r="R24" s="1065" cm="1">
        <f t="array" ref="R24">IF(Cdlac[[#This Row],[Quantity]]&gt;0,INDEX(HudFmrs,$P$18,Cdlac[[#This Row],[Bedrooms]]+1),"")</f>
        <v>2328</v>
      </c>
      <c r="S24" s="1065">
        <f>IF(Cdlac[[#This Row],[Quantity]]&gt;0,MAX(0,Cdlac[[#This Row],[Fair Market Rent]]-IF(AND($G$37,$G$38,$G$38&lt;&gt;"",NOT(Cdlac[[#This Row],[Federal]]),Cdlac[[#This Row],[Preservation Rent]]&lt;&gt;""),Cdlac[[#This Row],[Preservation Rent]],Cdlac[[#This Row],[Restricted Rent]])),"")</f>
        <v>468</v>
      </c>
      <c r="T24" s="1044">
        <f>IF(Cdlac[[#This Row],[Quantity]]&gt;0,AND(Application!AK722&lt;&gt;"N/A",Application!AK722&lt;&gt;"")*Cdlac[[#This Row],[Quantity]],"")</f>
        <v>0</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159</v>
      </c>
      <c r="F25" s="1072">
        <f>E25</f>
        <v>159</v>
      </c>
      <c r="G25" s="1072">
        <f>D25*F25</f>
        <v>159</v>
      </c>
      <c r="L25" s="1044">
        <f>IFERROR(MIN(4,MATCH(Application!B723,UnitSizes,0)-1),"")</f>
        <v>1</v>
      </c>
      <c r="M25" s="1065">
        <f>Application!G723</f>
        <v>50</v>
      </c>
      <c r="N25" s="1071">
        <f>Application!AC723</f>
        <v>0.7</v>
      </c>
      <c r="O25" s="1071">
        <f>IF(Cdlac[[#This Row],[Quantity]]&gt;0,IF(Cdlac[[#This Row],[Federal]],30%,IF(AND(OR(NOT($G$38),$G$38=""),$G$43),40%,Cdlac[[#This Row],[iAMI]])),"")</f>
        <v>0.7</v>
      </c>
      <c r="P25" s="1065" cm="1">
        <f t="array" ref="P25">IF(Cdlac[[#This Row],[Quantity]]&gt;0,INDEX(TcacRents,$P$18,Cdlac[[#This Row],[Bedrooms]]+1)*Cdlac[[#This Row],[AMI]],"")</f>
        <v>2170</v>
      </c>
      <c r="Q25" s="1164"/>
      <c r="R25" s="1065" cm="1">
        <f t="array" ref="R25">IF(Cdlac[[#This Row],[Quantity]]&gt;0,INDEX(HudFmrs,$P$18,Cdlac[[#This Row],[Bedrooms]]+1),"")</f>
        <v>2328</v>
      </c>
      <c r="S25" s="1065">
        <f>IF(Cdlac[[#This Row],[Quantity]]&gt;0,MAX(0,Cdlac[[#This Row],[Fair Market Rent]]-IF(AND($G$37,$G$38,$G$38&lt;&gt;"",NOT(Cdlac[[#This Row],[Federal]]),Cdlac[[#This Row],[Preservation Rent]]&lt;&gt;""),Cdlac[[#This Row],[Preservation Rent]],Cdlac[[#This Row],[Restricted Rent]])),"")</f>
        <v>158</v>
      </c>
      <c r="T25" s="1044">
        <f>IF(Cdlac[[#This Row],[Quantity]]&gt;0,AND(Application!AK723&lt;&gt;"N/A",Application!AK723&lt;&gt;"")*Cdlac[[#This Row],[Quantity]],"")</f>
        <v>0</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22</v>
      </c>
      <c r="F26" s="1075">
        <f>SUM(E26:E28)-SUM(F27:F28)</f>
        <v>22</v>
      </c>
      <c r="G26" s="1072">
        <f>D26*F26</f>
        <v>27.5</v>
      </c>
      <c r="H26" s="1074"/>
      <c r="I26" s="1074"/>
      <c r="L26" s="1044">
        <f>IFERROR(MIN(4,MATCH(Application!B724,UnitSizes,0)-1),"")</f>
        <v>2</v>
      </c>
      <c r="M26" s="1065">
        <f>Application!G724</f>
        <v>3</v>
      </c>
      <c r="N26" s="1071">
        <f>Application!AC724</f>
        <v>0.5</v>
      </c>
      <c r="O26" s="1071">
        <f>IF(Cdlac[[#This Row],[Quantity]]&gt;0,IF(Cdlac[[#This Row],[Federal]],30%,IF(AND(OR(NOT($G$38),$G$38=""),$G$43),40%,Cdlac[[#This Row],[iAMI]])),"")</f>
        <v>0.5</v>
      </c>
      <c r="P26" s="1065" cm="1">
        <f t="array" ref="P26">IF(Cdlac[[#This Row],[Quantity]]&gt;0,INDEX(TcacRents,$P$18,Cdlac[[#This Row],[Bedrooms]]+1)*Cdlac[[#This Row],[AMI]],"")</f>
        <v>1861</v>
      </c>
      <c r="Q26" s="1164"/>
      <c r="R26" s="1065" cm="1">
        <f t="array" ref="R26">IF(Cdlac[[#This Row],[Quantity]]&gt;0,INDEX(HudFmrs,$P$18,Cdlac[[#This Row],[Bedrooms]]+1),"")</f>
        <v>2881</v>
      </c>
      <c r="S26" s="1065">
        <f>IF(Cdlac[[#This Row],[Quantity]]&gt;0,MAX(0,Cdlac[[#This Row],[Fair Market Rent]]-IF(AND($G$37,$G$38,$G$38&lt;&gt;"",NOT(Cdlac[[#This Row],[Federal]]),Cdlac[[#This Row],[Preservation Rent]]&lt;&gt;""),Cdlac[[#This Row],[Preservation Rent]],Cdlac[[#This Row],[Restricted Rent]])),"")</f>
        <v>1020</v>
      </c>
      <c r="T26" s="1044">
        <f>IF(Cdlac[[#This Row],[Quantity]]&gt;0,AND(Application!AK724&lt;&gt;"N/A",Application!AK724&lt;&gt;"")*Cdlac[[#This Row],[Quantity]],"")</f>
        <v>0</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14</v>
      </c>
      <c r="F27" s="1075">
        <f>MIN(E27,ROUNDDOWN(E29*30%,0))</f>
        <v>14</v>
      </c>
      <c r="G27" s="1072">
        <f>D27*F27</f>
        <v>21</v>
      </c>
      <c r="H27" s="1074"/>
      <c r="I27" s="1074"/>
      <c r="L27" s="1044">
        <f>IFERROR(MIN(4,MATCH(Application!B725,UnitSizes,0)-1),"")</f>
        <v>2</v>
      </c>
      <c r="M27" s="1065">
        <f>Application!G725</f>
        <v>19</v>
      </c>
      <c r="N27" s="1071">
        <f>Application!AC725</f>
        <v>0.6</v>
      </c>
      <c r="O27" s="1071">
        <f>IF(Cdlac[[#This Row],[Quantity]]&gt;0,IF(Cdlac[[#This Row],[Federal]],30%,IF(AND(OR(NOT($G$38),$G$38=""),$G$43),40%,Cdlac[[#This Row],[iAMI]])),"")</f>
        <v>0.6</v>
      </c>
      <c r="P27" s="1065" cm="1">
        <f t="array" ref="P27">IF(Cdlac[[#This Row],[Quantity]]&gt;0,INDEX(TcacRents,$P$18,Cdlac[[#This Row],[Bedrooms]]+1)*Cdlac[[#This Row],[AMI]],"")</f>
        <v>2233.1999999999998</v>
      </c>
      <c r="Q27" s="1164"/>
      <c r="R27" s="1065" cm="1">
        <f t="array" ref="R27">IF(Cdlac[[#This Row],[Quantity]]&gt;0,INDEX(HudFmrs,$P$18,Cdlac[[#This Row],[Bedrooms]]+1),"")</f>
        <v>2881</v>
      </c>
      <c r="S27" s="1065">
        <f>IF(Cdlac[[#This Row],[Quantity]]&gt;0,MAX(0,Cdlac[[#This Row],[Fair Market Rent]]-IF(AND($G$37,$G$38,$G$38&lt;&gt;"",NOT(Cdlac[[#This Row],[Federal]]),Cdlac[[#This Row],[Preservation Rent]]&lt;&gt;""),Cdlac[[#This Row],[Preservation Rent]],Cdlac[[#This Row],[Restricted Rent]])),"")</f>
        <v>647.80000000000018</v>
      </c>
      <c r="T27" s="1044">
        <f>IF(Cdlac[[#This Row],[Quantity]]&gt;0,AND(Application!AK725&lt;&gt;"N/A",Application!AK725&lt;&gt;"")*Cdlac[[#This Row],[Quantity]],"")</f>
        <v>0</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f>IFERROR(MIN(4,MATCH(Application!B726,UnitSizes,0)-1),"")</f>
        <v>3</v>
      </c>
      <c r="M28" s="1065">
        <f>Application!G726</f>
        <v>2</v>
      </c>
      <c r="N28" s="1071">
        <f>Application!AC726</f>
        <v>0.5</v>
      </c>
      <c r="O28" s="1071">
        <f>IF(Cdlac[[#This Row],[Quantity]]&gt;0,IF(Cdlac[[#This Row],[Federal]],30%,IF(AND(OR(NOT($G$38),$G$38=""),$G$43),40%,Cdlac[[#This Row],[iAMI]])),"")</f>
        <v>0.5</v>
      </c>
      <c r="P28" s="1065" cm="1">
        <f t="array" ref="P28">IF(Cdlac[[#This Row],[Quantity]]&gt;0,INDEX(TcacRents,$P$18,Cdlac[[#This Row],[Bedrooms]]+1)*Cdlac[[#This Row],[AMI]],"")</f>
        <v>2150</v>
      </c>
      <c r="Q28" s="1164"/>
      <c r="R28" s="1065" cm="1">
        <f t="array" ref="R28">IF(Cdlac[[#This Row],[Quantity]]&gt;0,INDEX(HudFmrs,$P$18,Cdlac[[#This Row],[Bedrooms]]+1),"")</f>
        <v>3852</v>
      </c>
      <c r="S28" s="1065">
        <f>IF(Cdlac[[#This Row],[Quantity]]&gt;0,MAX(0,Cdlac[[#This Row],[Fair Market Rent]]-IF(AND($G$37,$G$38,$G$38&lt;&gt;"",NOT(Cdlac[[#This Row],[Federal]]),Cdlac[[#This Row],[Preservation Rent]]&lt;&gt;""),Cdlac[[#This Row],[Preservation Rent]],Cdlac[[#This Row],[Restricted Rent]])),"")</f>
        <v>1702</v>
      </c>
      <c r="T28" s="1044">
        <f>IF(Cdlac[[#This Row],[Quantity]]&gt;0,AND(Application!AK726&lt;&gt;"N/A",Application!AK726&lt;&gt;"")*Cdlac[[#This Row],[Quantity]],"")</f>
        <v>0</v>
      </c>
      <c r="U28" s="1044" t="b">
        <f>AND('Subsidy Contract Calculation'!F12&gt;0,OR('Subsidy Contract Calculation'!C12="Federal",'Subsidy Contract Calculation'!C12="Local - Approved by ED"),Cdlac[[#This Row],[Quantity]]&gt;0)</f>
        <v>0</v>
      </c>
    </row>
    <row r="29" spans="1:21" ht="15" customHeight="1">
      <c r="A29" s="1074"/>
      <c r="C29" s="2679" t="s">
        <v>1585</v>
      </c>
      <c r="D29" s="2680"/>
      <c r="E29" s="1089">
        <f>SUM(E24:E28)</f>
        <v>269</v>
      </c>
      <c r="F29" s="1089">
        <f>SUM(F24:F28)</f>
        <v>269</v>
      </c>
      <c r="G29" s="1090">
        <f>SUMPRODUCT(D24:D28,F24:F28)</f>
        <v>274.10000000000002</v>
      </c>
      <c r="H29" s="1074"/>
      <c r="I29" s="1074"/>
      <c r="L29" s="1044">
        <f>IFERROR(MIN(4,MATCH(Application!B727,UnitSizes,0)-1),"")</f>
        <v>3</v>
      </c>
      <c r="M29" s="1065">
        <f>Application!G727</f>
        <v>12</v>
      </c>
      <c r="N29" s="1071">
        <f>Application!AC727</f>
        <v>0.7</v>
      </c>
      <c r="O29" s="1071">
        <f>IF(Cdlac[[#This Row],[Quantity]]&gt;0,IF(Cdlac[[#This Row],[Federal]],30%,IF(AND(OR(NOT($G$38),$G$38=""),$G$43),40%,Cdlac[[#This Row],[iAMI]])),"")</f>
        <v>0.7</v>
      </c>
      <c r="P29" s="1065" cm="1">
        <f t="array" ref="P29">IF(Cdlac[[#This Row],[Quantity]]&gt;0,INDEX(TcacRents,$P$18,Cdlac[[#This Row],[Bedrooms]]+1)*Cdlac[[#This Row],[AMI]],"")</f>
        <v>3010</v>
      </c>
      <c r="Q29" s="1164"/>
      <c r="R29" s="1065" cm="1">
        <f t="array" ref="R29">IF(Cdlac[[#This Row],[Quantity]]&gt;0,INDEX(HudFmrs,$P$18,Cdlac[[#This Row],[Bedrooms]]+1),"")</f>
        <v>3852</v>
      </c>
      <c r="S29" s="1065">
        <f>IF(Cdlac[[#This Row],[Quantity]]&gt;0,MAX(0,Cdlac[[#This Row],[Fair Market Rent]]-IF(AND($G$37,$G$38,$G$38&lt;&gt;"",NOT(Cdlac[[#This Row],[Federal]]),Cdlac[[#This Row],[Preservation Rent]]&lt;&gt;""),Cdlac[[#This Row],[Preservation Rent]],Cdlac[[#This Row],[Restricted Rent]])),"")</f>
        <v>842</v>
      </c>
      <c r="T29" s="1044">
        <f>IF(Cdlac[[#This Row],[Quantity]]&gt;0,AND(Application!AK727&lt;&gt;"N/A",Application!AK727&lt;&gt;"")*Cdlac[[#This Row],[Quantity]],"")</f>
        <v>0</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t="str">
        <f>IFERROR(MIN(4,MATCH(Application!B728,UnitSizes,0)-1),"")</f>
        <v/>
      </c>
      <c r="M30" s="1065">
        <f>Application!G728</f>
        <v>0</v>
      </c>
      <c r="N30" s="1071">
        <f>Application!AC728</f>
        <v>0</v>
      </c>
      <c r="O30" s="1071" t="str">
        <f>IF(Cdlac[[#This Row],[Quantity]]&gt;0,IF(Cdlac[[#This Row],[Federal]],30%,IF(AND(OR(NOT($G$38),$G$38=""),$G$43),40%,Cdlac[[#This Row],[iAMI]])),"")</f>
        <v/>
      </c>
      <c r="P30" s="1065" t="str" cm="1">
        <f t="array" ref="P30">IF(Cdlac[[#This Row],[Quantity]]&gt;0,INDEX(TcacRents,$P$18,Cdlac[[#This Row],[Bedrooms]]+1)*Cdlac[[#This Row],[AMI]],"")</f>
        <v/>
      </c>
      <c r="Q30" s="1164"/>
      <c r="R30" s="1065" t="str" cm="1">
        <f t="array" ref="R30">IF(Cdlac[[#This Row],[Quantity]]&gt;0,INDEX(HudFmrs,$P$18,Cdlac[[#This Row],[Bedrooms]]+1),"")</f>
        <v/>
      </c>
      <c r="S30" s="1065" t="str">
        <f>IF(Cdlac[[#This Row],[Quantity]]&gt;0,MAX(0,Cdlac[[#This Row],[Fair Market Rent]]-IF(AND($G$37,$G$38,$G$38&lt;&gt;"",NOT(Cdlac[[#This Row],[Federal]]),Cdlac[[#This Row],[Preservation Rent]]&lt;&gt;""),Cdlac[[#This Row],[Preservation Rent]],Cdlac[[#This Row],[Restricted Rent]])),"")</f>
        <v/>
      </c>
      <c r="T30" s="1044" t="str">
        <f>IF(Cdlac[[#This Row],[Quantity]]&gt;0,AND(Application!AK728&lt;&gt;"N/A",Application!AK728&lt;&gt;"")*Cdlac[[#This Row],[Quantity]],"")</f>
        <v/>
      </c>
      <c r="U30" s="1044" t="b">
        <f>AND('Subsidy Contract Calculation'!F14&gt;0,OR('Subsidy Contract Calculation'!C14="Federal",'Subsidy Contract Calculation'!C14="Local - Approved by ED"),Cdlac[[#This Row],[Quantity]]&gt;0)</f>
        <v>0</v>
      </c>
    </row>
    <row r="31" spans="1:21" ht="15" customHeight="1">
      <c r="A31" s="1074"/>
      <c r="E31" s="1117" t="s">
        <v>1985</v>
      </c>
      <c r="G31" s="1114">
        <f>G29</f>
        <v>274.10000000000002</v>
      </c>
      <c r="H31" s="1074"/>
      <c r="I31" s="1074"/>
      <c r="L31" s="1044" t="str">
        <f>IFERROR(MIN(4,MATCH(Application!B729,UnitSizes,0)-1),"")</f>
        <v/>
      </c>
      <c r="M31" s="1065">
        <f>Application!G729</f>
        <v>0</v>
      </c>
      <c r="N31" s="1071">
        <f>Application!AC729</f>
        <v>0</v>
      </c>
      <c r="O31" s="1071" t="str">
        <f>IF(Cdlac[[#This Row],[Quantity]]&gt;0,IF(Cdlac[[#This Row],[Federal]],30%,IF(AND(OR(NOT($G$38),$G$38=""),$G$43),40%,Cdlac[[#This Row],[iAMI]])),"")</f>
        <v/>
      </c>
      <c r="P31" s="1065" t="str" cm="1">
        <f t="array" ref="P31">IF(Cdlac[[#This Row],[Quantity]]&gt;0,INDEX(TcacRents,$P$18,Cdlac[[#This Row],[Bedrooms]]+1)*Cdlac[[#This Row],[AMI]],"")</f>
        <v/>
      </c>
      <c r="Q31" s="1164"/>
      <c r="R31" s="1065" t="str" cm="1">
        <f t="array" ref="R31">IF(Cdlac[[#This Row],[Quantity]]&gt;0,INDEX(HudFmrs,$P$18,Cdlac[[#This Row],[Bedrooms]]+1),"")</f>
        <v/>
      </c>
      <c r="S31" s="1065" t="str">
        <f>IF(Cdlac[[#This Row],[Quantity]]&gt;0,MAX(0,Cdlac[[#This Row],[Fair Market Rent]]-IF(AND($G$37,$G$38,$G$38&lt;&gt;"",NOT(Cdlac[[#This Row],[Federal]]),Cdlac[[#This Row],[Preservation Rent]]&lt;&gt;""),Cdlac[[#This Row],[Preservation Rent]],Cdlac[[#This Row],[Restricted Rent]])),"")</f>
        <v/>
      </c>
      <c r="T31" s="1044" t="str">
        <f>IF(Cdlac[[#This Row],[Quantity]]&gt;0,AND(Application!AK729&lt;&gt;"N/A",Application!AK729&lt;&gt;"")*Cdlac[[#This Row],[Quantity]],"")</f>
        <v/>
      </c>
      <c r="U31" s="1044" t="b">
        <f>AND('Subsidy Contract Calculation'!F15&gt;0,OR('Subsidy Contract Calculation'!C15="Federal",'Subsidy Contract Calculation'!C15="Local - Approved by ED"),Cdlac[[#This Row],[Quantity]]&gt;0)</f>
        <v>0</v>
      </c>
    </row>
    <row r="32" spans="1:21" ht="15" customHeight="1">
      <c r="A32" s="1074"/>
      <c r="E32" s="1117" t="s">
        <v>1944</v>
      </c>
      <c r="F32" s="1113" t="s">
        <v>1992</v>
      </c>
      <c r="G32" s="1115">
        <v>50000</v>
      </c>
      <c r="H32" s="1074"/>
      <c r="I32" s="1074"/>
      <c r="L32" s="1044" t="str">
        <f>IFERROR(MIN(4,MATCH(Application!B730,UnitSizes,0)-1),"")</f>
        <v/>
      </c>
      <c r="M32" s="1065">
        <f>Application!G730</f>
        <v>0</v>
      </c>
      <c r="N32" s="1071">
        <f>Application!AC730</f>
        <v>0</v>
      </c>
      <c r="O32" s="1071" t="str">
        <f>IF(Cdlac[[#This Row],[Quantity]]&gt;0,IF(Cdlac[[#This Row],[Federal]],30%,IF(AND(OR(NOT($G$38),$G$38=""),$G$43),40%,Cdlac[[#This Row],[iAMI]])),"")</f>
        <v/>
      </c>
      <c r="P32" s="1065" t="str" cm="1">
        <f t="array" ref="P32">IF(Cdlac[[#This Row],[Quantity]]&gt;0,INDEX(TcacRents,$P$18,Cdlac[[#This Row],[Bedrooms]]+1)*Cdlac[[#This Row],[AMI]],"")</f>
        <v/>
      </c>
      <c r="Q32" s="1164"/>
      <c r="R32" s="1065" t="str" cm="1">
        <f t="array" ref="R32">IF(Cdlac[[#This Row],[Quantity]]&gt;0,INDEX(HudFmrs,$P$18,Cdlac[[#This Row],[Bedrooms]]+1),"")</f>
        <v/>
      </c>
      <c r="S32" s="1065" t="str">
        <f>IF(Cdlac[[#This Row],[Quantity]]&gt;0,MAX(0,Cdlac[[#This Row],[Fair Market Rent]]-IF(AND($G$37,$G$38,$G$38&lt;&gt;"",NOT(Cdlac[[#This Row],[Federal]]),Cdlac[[#This Row],[Preservation Rent]]&lt;&gt;""),Cdlac[[#This Row],[Preservation Rent]],Cdlac[[#This Row],[Restricted Rent]])),"")</f>
        <v/>
      </c>
      <c r="T32" s="1044" t="str">
        <f>IF(Cdlac[[#This Row],[Quantity]]&gt;0,AND(Application!AK730&lt;&gt;"N/A",Application!AK730&lt;&gt;"")*Cdlac[[#This Row],[Quantity]],"")</f>
        <v/>
      </c>
      <c r="U32" s="1044" t="b">
        <f>AND('Subsidy Contract Calculation'!F16&gt;0,OR('Subsidy Contract Calculation'!C16="Federal",'Subsidy Contract Calculation'!C16="Local - Approved by ED"),Cdlac[[#This Row],[Quantity]]&gt;0)</f>
        <v>0</v>
      </c>
    </row>
    <row r="33" spans="1:21" ht="15" customHeight="1">
      <c r="A33" s="1074"/>
      <c r="E33" s="1118" t="s">
        <v>1978</v>
      </c>
      <c r="F33" s="1046"/>
      <c r="G33" s="1119">
        <f>G32*G31</f>
        <v>13705000.000000002</v>
      </c>
      <c r="H33" s="1074"/>
      <c r="I33" s="1074"/>
      <c r="L33" s="1044" t="str">
        <f>IFERROR(MIN(4,MATCH(Application!B731,UnitSizes,0)-1),"")</f>
        <v/>
      </c>
      <c r="M33" s="1065">
        <f>Application!G731</f>
        <v>0</v>
      </c>
      <c r="N33" s="1071">
        <f>Application!AC731</f>
        <v>0</v>
      </c>
      <c r="O33" s="1071" t="str">
        <f>IF(Cdlac[[#This Row],[Quantity]]&gt;0,IF(Cdlac[[#This Row],[Federal]],30%,IF(AND(OR(NOT($G$38),$G$38=""),$G$43),40%,Cdlac[[#This Row],[iAMI]])),"")</f>
        <v/>
      </c>
      <c r="P33" s="1065" t="str" cm="1">
        <f t="array" ref="P33">IF(Cdlac[[#This Row],[Quantity]]&gt;0,INDEX(TcacRents,$P$18,Cdlac[[#This Row],[Bedrooms]]+1)*Cdlac[[#This Row],[AMI]],"")</f>
        <v/>
      </c>
      <c r="Q33" s="1164"/>
      <c r="R33" s="1065" t="str" cm="1">
        <f t="array" ref="R33">IF(Cdlac[[#This Row],[Quantity]]&gt;0,INDEX(HudFmrs,$P$18,Cdlac[[#This Row],[Bedrooms]]+1),"")</f>
        <v/>
      </c>
      <c r="S33" s="1065" t="str">
        <f>IF(Cdlac[[#This Row],[Quantity]]&gt;0,MAX(0,Cdlac[[#This Row],[Fair Market Rent]]-IF(AND($G$37,$G$38,$G$38&lt;&gt;"",NOT(Cdlac[[#This Row],[Federal]]),Cdlac[[#This Row],[Preservation Rent]]&lt;&gt;""),Cdlac[[#This Row],[Preservation Rent]],Cdlac[[#This Row],[Restricted Rent]])),"")</f>
        <v/>
      </c>
      <c r="T33" s="1044" t="str">
        <f>IF(Cdlac[[#This Row],[Quantity]]&gt;0,AND(Application!AK731&lt;&gt;"N/A",Application!AK731&lt;&gt;"")*Cdlac[[#This Row],[Quantity]],"")</f>
        <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2258</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2259</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82" t="str">
        <f>IF(AND(G37,G38,G38&lt;&gt;""),"Enter the average rent charged for each unit type over the last three years, as documented with rent rolls or property audits, in cells Q20:Q44","")</f>
        <v/>
      </c>
      <c r="D39" s="2682"/>
      <c r="E39" s="2682"/>
      <c r="F39" s="2682"/>
      <c r="G39" s="2682"/>
      <c r="H39" s="2682"/>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82"/>
      <c r="D40" s="2682"/>
      <c r="E40" s="2682"/>
      <c r="F40" s="2682"/>
      <c r="G40" s="2682"/>
      <c r="H40" s="2682"/>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82"/>
      <c r="D41" s="2682"/>
      <c r="E41" s="2682"/>
      <c r="F41" s="2682"/>
      <c r="G41" s="2682"/>
      <c r="H41" s="2682"/>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2003</v>
      </c>
      <c r="G42" s="1120" cm="1">
        <f t="array" ref="G42">SUMPRODUCT(Cdlac[Quantity],Cdlac[iAMI],IF(Cdlac[Federal],0,1))/SUMIFS(Cdlac[Quantity],Cdlac[Federal],FALSE)</f>
        <v>0.58141263940520449</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1998</v>
      </c>
      <c r="G43" s="1081" t="b">
        <f>G42&lt;40%</f>
        <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1948</v>
      </c>
      <c r="G45" s="1078">
        <f>IFERROR(SUMPRODUCT(Cdlac[Quantity],Cdlac[Delta]),0)</f>
        <v>149320.00000000003</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2004</v>
      </c>
      <c r="F46" s="1113" t="s">
        <v>1992</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1943</v>
      </c>
      <c r="F47" s="1046"/>
      <c r="G47" s="1123">
        <f>G45*G46</f>
        <v>26877600.000000004</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1993</v>
      </c>
      <c r="G51" s="1114">
        <f>T18</f>
        <v>0</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1994</v>
      </c>
      <c r="G52" s="1114">
        <f>ROUNDDOWN(E29*50%,0)</f>
        <v>134</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1954</v>
      </c>
      <c r="G54" s="1114">
        <f>MIN(G51:G52)</f>
        <v>0</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1944</v>
      </c>
      <c r="F55" s="1113" t="s">
        <v>1992</v>
      </c>
      <c r="G55" s="1124">
        <v>10000</v>
      </c>
      <c r="M55" s="1065"/>
      <c r="N55" s="1071"/>
      <c r="O55" s="1071"/>
      <c r="P55" s="1065"/>
      <c r="Q55" s="1164"/>
      <c r="R55" s="1065"/>
      <c r="S55" s="1065"/>
    </row>
    <row r="56" spans="2:21" ht="15" customHeight="1">
      <c r="E56" s="1118" t="s">
        <v>1977</v>
      </c>
      <c r="F56" s="1046"/>
      <c r="G56" s="1123">
        <f>G54*G55</f>
        <v>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1995</v>
      </c>
      <c r="G60" s="1079">
        <f>SUMIFS(Cdlac[Quantity],Cdlac[iAMI],"&lt;=30%")</f>
        <v>28</v>
      </c>
    </row>
    <row r="61" spans="2:21" ht="15" customHeight="1">
      <c r="E61" s="1117" t="s">
        <v>1994</v>
      </c>
      <c r="G61" s="1079">
        <f>ROUNDDOWN(E29*50%,0)</f>
        <v>134</v>
      </c>
    </row>
    <row r="62" spans="2:21" ht="15" customHeight="1">
      <c r="E62" s="1117"/>
      <c r="G62" s="1079"/>
    </row>
    <row r="63" spans="2:21" ht="15" customHeight="1">
      <c r="E63" s="1117" t="s">
        <v>1954</v>
      </c>
      <c r="G63" s="1114">
        <f>MIN(G60:G61)</f>
        <v>28</v>
      </c>
    </row>
    <row r="64" spans="2:21" ht="15" customHeight="1">
      <c r="E64" s="1117" t="s">
        <v>1944</v>
      </c>
      <c r="F64" s="1113" t="s">
        <v>1992</v>
      </c>
      <c r="G64" s="1124">
        <v>20000</v>
      </c>
    </row>
    <row r="65" spans="2:14" ht="15" customHeight="1">
      <c r="E65" s="1118" t="s">
        <v>1976</v>
      </c>
      <c r="F65" s="1046"/>
      <c r="G65" s="1123">
        <f>G63*G64</f>
        <v>560000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1980</v>
      </c>
      <c r="G69" s="1043" t="s">
        <v>545</v>
      </c>
    </row>
    <row r="70" spans="2:14" ht="15" customHeight="1">
      <c r="C70" s="1077" t="s">
        <v>1981</v>
      </c>
      <c r="G70" s="1081" t="str">
        <f>IF(Application!D211="Large Family","Yes","No")</f>
        <v>No</v>
      </c>
    </row>
    <row r="71" spans="2:14" ht="15" customHeight="1" thickBot="1">
      <c r="C71" s="1077" t="s">
        <v>1967</v>
      </c>
      <c r="G71" s="1043" t="s">
        <v>669</v>
      </c>
    </row>
    <row r="72" spans="2:14" ht="15" customHeight="1">
      <c r="C72" s="1077" t="s">
        <v>1968</v>
      </c>
      <c r="G72" s="1044" t="str">
        <f>Application!T193</f>
        <v>Low Resource</v>
      </c>
      <c r="L72" s="2652" t="s">
        <v>1969</v>
      </c>
      <c r="M72" s="2653"/>
      <c r="N72" s="1131">
        <v>30000</v>
      </c>
    </row>
    <row r="73" spans="2:14" ht="15" customHeight="1">
      <c r="C73" s="2654" t="s">
        <v>2261</v>
      </c>
      <c r="D73" s="2654"/>
      <c r="E73" s="2654"/>
      <c r="F73" s="2654"/>
      <c r="G73" s="1043" t="s">
        <v>669</v>
      </c>
      <c r="L73" s="2669" t="s">
        <v>1937</v>
      </c>
      <c r="M73" s="2670"/>
      <c r="N73" s="1132">
        <v>20000</v>
      </c>
    </row>
    <row r="74" spans="2:14" ht="15" customHeight="1" thickBot="1">
      <c r="C74" s="2654"/>
      <c r="D74" s="2654"/>
      <c r="E74" s="2654"/>
      <c r="F74" s="2654"/>
      <c r="L74" s="2644" t="s">
        <v>1970</v>
      </c>
      <c r="M74" s="2645"/>
      <c r="N74" s="1133">
        <v>10000</v>
      </c>
    </row>
    <row r="75" spans="2:14" ht="15" customHeight="1">
      <c r="C75" s="1077"/>
    </row>
    <row r="76" spans="2:14" ht="15" customHeight="1">
      <c r="E76" s="1084" t="s">
        <v>1999</v>
      </c>
      <c r="G76" s="1079" t="b">
        <f>OR(AND(COUNTIFS(G70:G71,"Yes")&gt;=1,G69="Yes"),G73="Yes")</f>
        <v>0</v>
      </c>
    </row>
    <row r="77" spans="2:14" ht="15" customHeight="1">
      <c r="E77" s="1084"/>
      <c r="G77" s="1079"/>
    </row>
    <row r="78" spans="2:14" ht="15" customHeight="1">
      <c r="E78" s="1084" t="s">
        <v>1944</v>
      </c>
      <c r="G78" s="1078">
        <f>IFERROR(IF($G$73="Yes",30000,INDEX(N72:N74,MATCH(LEFT(G72,17),L72:L74,0))),0)</f>
        <v>0</v>
      </c>
    </row>
    <row r="79" spans="2:14" ht="15" customHeight="1">
      <c r="E79" s="1084" t="str">
        <f>E96</f>
        <v>Bedroom-Adjusted Low-Income Units</v>
      </c>
      <c r="F79" s="1113" t="s">
        <v>1992</v>
      </c>
      <c r="G79" s="1114">
        <f>G29</f>
        <v>274.10000000000002</v>
      </c>
    </row>
    <row r="80" spans="2:14" ht="15" customHeight="1">
      <c r="D80" s="1046"/>
      <c r="E80" s="1118" t="s">
        <v>2266</v>
      </c>
      <c r="F80" s="1046"/>
      <c r="G80" s="1123">
        <f>G79*G78*G76</f>
        <v>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1975</v>
      </c>
      <c r="G84" s="1043" t="s">
        <v>669</v>
      </c>
    </row>
    <row r="85" spans="2:9" ht="15" customHeight="1">
      <c r="F85" s="1116"/>
    </row>
    <row r="86" spans="2:9" ht="15" customHeight="1">
      <c r="E86" s="1084" t="s">
        <v>1999</v>
      </c>
      <c r="G86" s="1079" t="b">
        <f>G84="Yes"</f>
        <v>0</v>
      </c>
    </row>
    <row r="87" spans="2:9" ht="15" customHeight="1"/>
    <row r="88" spans="2:9" ht="15" customHeight="1">
      <c r="E88" s="1084" t="str">
        <f>E96</f>
        <v>Bedroom-Adjusted Low-Income Units</v>
      </c>
      <c r="G88" s="1114">
        <f>G29</f>
        <v>274.10000000000002</v>
      </c>
    </row>
    <row r="89" spans="2:9" ht="15" customHeight="1">
      <c r="E89" s="1084" t="s">
        <v>1944</v>
      </c>
      <c r="F89" s="1113" t="s">
        <v>1992</v>
      </c>
      <c r="G89" s="1050">
        <v>20000</v>
      </c>
    </row>
    <row r="90" spans="2:9" ht="15" customHeight="1">
      <c r="E90" s="1118" t="s">
        <v>2270</v>
      </c>
      <c r="F90" s="1046"/>
      <c r="G90" s="1123">
        <f>G86*G89*G88</f>
        <v>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1955</v>
      </c>
      <c r="G94" s="1114">
        <f>VLOOKUP('Points System'!$H$606,'Points System'!$AO$586:$AP$591,2,FALSE)</f>
        <v>7</v>
      </c>
    </row>
    <row r="95" spans="2:9" ht="15" customHeight="1">
      <c r="E95" s="1084" t="s">
        <v>1944</v>
      </c>
      <c r="F95" s="1113" t="s">
        <v>1992</v>
      </c>
      <c r="G95" s="1076">
        <v>4000</v>
      </c>
    </row>
    <row r="96" spans="2:9" ht="15" customHeight="1" thickBot="1">
      <c r="E96" s="1084" t="s">
        <v>1996</v>
      </c>
      <c r="F96" s="1113" t="s">
        <v>1992</v>
      </c>
      <c r="G96" s="1126">
        <f>G29</f>
        <v>274.10000000000002</v>
      </c>
    </row>
    <row r="97" spans="2:14" ht="15" customHeight="1">
      <c r="E97" s="1118" t="s">
        <v>1961</v>
      </c>
      <c r="F97" s="1046"/>
      <c r="G97" s="1123">
        <f>G94*G95*G96</f>
        <v>7674800.0000000009</v>
      </c>
      <c r="L97" s="1127" t="str">
        <f>'Points System'!H638</f>
        <v>(i)</v>
      </c>
      <c r="M97" s="2650" t="s">
        <v>1404</v>
      </c>
      <c r="N97" s="2651"/>
    </row>
    <row r="98" spans="2:14" ht="15" customHeight="1">
      <c r="C98" s="1077"/>
      <c r="G98" s="1114"/>
      <c r="L98" s="1128" t="str">
        <f>'Points System'!H650</f>
        <v>(ii)</v>
      </c>
      <c r="M98" s="2646" t="s">
        <v>1956</v>
      </c>
      <c r="N98" s="2647"/>
    </row>
    <row r="99" spans="2:14" ht="15" customHeight="1">
      <c r="E99" s="1084" t="s">
        <v>1997</v>
      </c>
      <c r="G99" s="1126">
        <f>COUNTIFS(L97:L104,"(i)")</f>
        <v>4</v>
      </c>
      <c r="L99" s="1128" t="str">
        <f>'Points System'!H685</f>
        <v>(i)</v>
      </c>
      <c r="M99" s="2646" t="s">
        <v>1957</v>
      </c>
      <c r="N99" s="2647"/>
    </row>
    <row r="100" spans="2:14" ht="15" customHeight="1">
      <c r="E100" s="1084" t="s">
        <v>1944</v>
      </c>
      <c r="F100" s="1113" t="s">
        <v>1992</v>
      </c>
      <c r="G100" s="1124">
        <v>4000</v>
      </c>
      <c r="L100" s="1128" t="str">
        <f>IF(OR('Points System'!H709="(ii)",'Points System'!H709="(i)"),"(i)","N/A")</f>
        <v>N/A</v>
      </c>
      <c r="M100" s="2646" t="s">
        <v>1958</v>
      </c>
      <c r="N100" s="2647"/>
    </row>
    <row r="101" spans="2:14" ht="15" customHeight="1">
      <c r="E101" s="1118" t="s">
        <v>1962</v>
      </c>
      <c r="F101" s="1046"/>
      <c r="G101" s="1123">
        <f>G96*G99*G100</f>
        <v>4385600</v>
      </c>
      <c r="L101" s="1129" t="str">
        <f>'Points System'!H723</f>
        <v>N/A</v>
      </c>
      <c r="M101" s="2646" t="s">
        <v>1430</v>
      </c>
      <c r="N101" s="2647"/>
    </row>
    <row r="102" spans="2:14" ht="15" customHeight="1">
      <c r="L102" s="1128" t="str">
        <f>'Points System'!H735</f>
        <v>N/A</v>
      </c>
      <c r="M102" s="2646" t="s">
        <v>1959</v>
      </c>
      <c r="N102" s="2647"/>
    </row>
    <row r="103" spans="2:14" ht="15" customHeight="1">
      <c r="C103" s="1080" t="s">
        <v>1964</v>
      </c>
      <c r="L103" s="1128" t="str">
        <f>'Points System'!H751</f>
        <v>(i)</v>
      </c>
      <c r="M103" s="2646" t="s">
        <v>1960</v>
      </c>
      <c r="N103" s="2647"/>
    </row>
    <row r="104" spans="2:14" ht="15" customHeight="1" thickBot="1">
      <c r="C104" s="1077" t="s">
        <v>1965</v>
      </c>
      <c r="G104" s="1043"/>
      <c r="L104" s="1130" t="str">
        <f>'Points System'!H763</f>
        <v>(i)</v>
      </c>
      <c r="M104" s="2648" t="s">
        <v>1433</v>
      </c>
      <c r="N104" s="2649"/>
    </row>
    <row r="105" spans="2:14" ht="15" customHeight="1">
      <c r="C105" s="1077" t="s">
        <v>1966</v>
      </c>
      <c r="G105" s="1043"/>
    </row>
    <row r="106" spans="2:14" ht="15" customHeight="1">
      <c r="C106" s="1077" t="s">
        <v>2139</v>
      </c>
      <c r="G106" s="1043" t="s">
        <v>545</v>
      </c>
    </row>
    <row r="107" spans="2:14" ht="15" customHeight="1">
      <c r="C107" s="1077" t="s">
        <v>2140</v>
      </c>
      <c r="G107" s="1043" t="s">
        <v>545</v>
      </c>
    </row>
    <row r="108" spans="2:14" ht="15" customHeight="1"/>
    <row r="109" spans="2:14" ht="15" customHeight="1">
      <c r="B109" s="1078"/>
      <c r="C109" s="1077"/>
      <c r="E109" s="1084" t="s">
        <v>1999</v>
      </c>
      <c r="G109" s="1079" t="b">
        <f>COUNTIFS(G104:G107,"Yes")&gt;=1</f>
        <v>1</v>
      </c>
    </row>
    <row r="110" spans="2:14" ht="15" customHeight="1">
      <c r="E110" s="1077"/>
    </row>
    <row r="111" spans="2:14" ht="15" customHeight="1">
      <c r="E111" s="1084" t="s">
        <v>1996</v>
      </c>
      <c r="F111" s="1113" t="s">
        <v>1992</v>
      </c>
      <c r="G111" s="1114">
        <f>G29</f>
        <v>274.10000000000002</v>
      </c>
    </row>
    <row r="112" spans="2:14" ht="15" customHeight="1">
      <c r="E112" s="1084" t="s">
        <v>1944</v>
      </c>
      <c r="F112" s="1113" t="s">
        <v>1992</v>
      </c>
      <c r="G112" s="1124">
        <v>25000</v>
      </c>
    </row>
    <row r="113" spans="2:9" ht="15" customHeight="1">
      <c r="E113" s="1118" t="s">
        <v>1963</v>
      </c>
      <c r="F113" s="1046"/>
      <c r="G113" s="1123">
        <f>G109*G112*G96</f>
        <v>6852500.0000000009</v>
      </c>
    </row>
    <row r="114" spans="2:9" ht="15" customHeight="1">
      <c r="C114" s="1077"/>
      <c r="E114" s="1077"/>
    </row>
    <row r="115" spans="2:9" ht="15" customHeight="1">
      <c r="E115" s="1118" t="s">
        <v>2271</v>
      </c>
      <c r="G115" s="1123">
        <f>G113+G101+G97</f>
        <v>18912900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81" t="s">
        <v>2226</v>
      </c>
      <c r="D119" s="2681"/>
      <c r="E119" s="2681"/>
      <c r="F119" s="2681"/>
    </row>
    <row r="120" spans="2:9" ht="15" customHeight="1">
      <c r="C120" s="2681"/>
      <c r="D120" s="2681"/>
      <c r="E120" s="2681"/>
      <c r="F120" s="2681"/>
      <c r="G120" s="1043"/>
    </row>
    <row r="121" spans="2:9" ht="15" customHeight="1"/>
    <row r="122" spans="2:9" ht="15" customHeight="1">
      <c r="C122" s="1044" t="s">
        <v>2228</v>
      </c>
      <c r="G122" s="2683"/>
      <c r="H122" s="2683"/>
    </row>
    <row r="123" spans="2:9" ht="15" customHeight="1">
      <c r="G123" s="2683"/>
      <c r="H123" s="2683"/>
    </row>
    <row r="124" spans="2:9" ht="15" customHeight="1">
      <c r="G124" s="2684"/>
      <c r="H124" s="2684"/>
    </row>
    <row r="125" spans="2:9" ht="15" customHeight="1">
      <c r="G125" s="1160"/>
      <c r="H125" s="1160"/>
    </row>
    <row r="126" spans="2:9" ht="15" customHeight="1">
      <c r="B126" s="1066" t="s">
        <v>2001</v>
      </c>
      <c r="C126" s="1067"/>
      <c r="D126" s="1067"/>
      <c r="E126" s="1067"/>
      <c r="F126" s="1067"/>
      <c r="G126" s="1067"/>
      <c r="H126" s="1067"/>
      <c r="I126" s="1068"/>
    </row>
    <row r="128" spans="2:9">
      <c r="E128" s="1084" t="s">
        <v>582</v>
      </c>
      <c r="G128" s="1044" t="str">
        <f>IF(Application!T189="","",Application!T189)</f>
        <v>San Diego</v>
      </c>
    </row>
    <row r="129" spans="2:9">
      <c r="E129" s="1084"/>
      <c r="G129" s="1078"/>
    </row>
    <row r="130" spans="2:9">
      <c r="E130" s="1084" t="str">
        <f>"2-Bedroom "&amp;G128&amp;" County Basis Limit"</f>
        <v>2-Bedroom San Diego County Basis Limit</v>
      </c>
      <c r="G130" s="1078">
        <f>Application!R988</f>
        <v>491200</v>
      </c>
    </row>
    <row r="131" spans="2:9">
      <c r="E131" s="1084" t="s">
        <v>2000</v>
      </c>
      <c r="G131" s="1078">
        <f>MEDIAN((Application!CU160:CU217))</f>
        <v>489600</v>
      </c>
    </row>
    <row r="132" spans="2:9" ht="15">
      <c r="D132" s="1046"/>
      <c r="E132" s="1118" t="s">
        <v>2002</v>
      </c>
      <c r="F132" s="1134"/>
      <c r="G132" s="1135">
        <f>((G130-G131)/G131)*0.25</f>
        <v>8.1699346405228761E-4</v>
      </c>
      <c r="H132" s="1042"/>
      <c r="I132" s="1042"/>
    </row>
    <row r="133" spans="2:9">
      <c r="D133" s="1045"/>
      <c r="E133" s="1045"/>
    </row>
    <row r="134" spans="2:9" ht="15">
      <c r="B134" s="1066" t="s">
        <v>2272</v>
      </c>
      <c r="C134" s="1067"/>
      <c r="D134" s="1067"/>
      <c r="E134" s="1067"/>
      <c r="F134" s="1067"/>
      <c r="G134" s="1067"/>
      <c r="H134" s="1067"/>
      <c r="I134" s="1068"/>
    </row>
    <row r="136" spans="2:9">
      <c r="E136" s="1084" t="s">
        <v>2258</v>
      </c>
      <c r="G136" s="1044" t="b">
        <f>G37</f>
        <v>0</v>
      </c>
    </row>
    <row r="137" spans="2:9">
      <c r="E137" s="1084" t="s">
        <v>2273</v>
      </c>
      <c r="G137" s="1044" t="b">
        <f>OR('Points System'!B52="Yes", 'Points System'!B56="Yes",'Points System'!B58="Yes")</f>
        <v>0</v>
      </c>
    </row>
    <row r="138" spans="2:9">
      <c r="C138" s="2678" t="s">
        <v>2274</v>
      </c>
      <c r="D138" s="2678"/>
      <c r="E138" s="2678"/>
      <c r="F138" s="2678"/>
    </row>
    <row r="139" spans="2:9">
      <c r="B139" s="1045"/>
      <c r="C139" s="2678"/>
      <c r="D139" s="2678"/>
      <c r="E139" s="2678"/>
      <c r="F139" s="2678"/>
      <c r="G139" s="1043"/>
    </row>
    <row r="140" spans="2:9">
      <c r="B140" s="1045"/>
      <c r="C140" s="1045"/>
      <c r="D140" s="1045"/>
      <c r="E140" s="1045"/>
      <c r="F140" s="1045"/>
    </row>
    <row r="141" spans="2:9" ht="14.25" customHeight="1">
      <c r="E141" s="1084" t="s">
        <v>2276</v>
      </c>
      <c r="G141" s="1169"/>
    </row>
    <row r="143" spans="2:9">
      <c r="E143" s="1084" t="s">
        <v>2278</v>
      </c>
      <c r="G143" s="1168">
        <f>IF(I9=0,0,G141/I9)</f>
        <v>0</v>
      </c>
    </row>
    <row r="144" spans="2:9">
      <c r="E144" s="1084" t="s">
        <v>2275</v>
      </c>
      <c r="G144" s="1166">
        <f>I9*0.15</f>
        <v>6750000</v>
      </c>
    </row>
  </sheetData>
  <sheetProtection algorithmName="SHA-512" hashValue="rU9KXKr9JkEPiF7oxs+ftz7WpGECsTcsIZbS7kWG7Ek974n2Qq04jHddqY5yVDYtARcu8JfvF71XmMq3fu+t9Q==" saltValue="Ib4bdmncUcu5nyPBr/Q1fQ==" spinCount="100000" sheet="1" objects="1" scenarios="1"/>
  <mergeCells count="42">
    <mergeCell ref="B16:D16"/>
    <mergeCell ref="B17:D17"/>
    <mergeCell ref="G13:I13"/>
    <mergeCell ref="C138:F139"/>
    <mergeCell ref="C22:C23"/>
    <mergeCell ref="D22:D23"/>
    <mergeCell ref="F22:F23"/>
    <mergeCell ref="E22:E23"/>
    <mergeCell ref="C29:D29"/>
    <mergeCell ref="C119:F120"/>
    <mergeCell ref="C39:H41"/>
    <mergeCell ref="G122:H124"/>
    <mergeCell ref="G11:H11"/>
    <mergeCell ref="G14:H14"/>
    <mergeCell ref="B11:D11"/>
    <mergeCell ref="B14:D14"/>
    <mergeCell ref="B15:D15"/>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L74:M74"/>
    <mergeCell ref="M101:N101"/>
    <mergeCell ref="M102:N102"/>
    <mergeCell ref="M103:N103"/>
    <mergeCell ref="M104:N104"/>
    <mergeCell ref="M97:N97"/>
    <mergeCell ref="M98:N98"/>
    <mergeCell ref="M99:N99"/>
    <mergeCell ref="M100:N100"/>
  </mergeCells>
  <phoneticPr fontId="25"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C4" sqref="C4"/>
    </sheetView>
  </sheetViews>
  <sheetFormatPr defaultColWidth="9.140625" defaultRowHeight="14.25" zeroHeight="1"/>
  <cols>
    <col min="1" max="2" width="15.7109375" style="304" customWidth="1"/>
    <col min="3" max="3" width="11" style="304" customWidth="1"/>
    <col min="4" max="4" width="15.7109375" style="304" customWidth="1"/>
    <col min="5" max="5" width="3.7109375" style="304" customWidth="1"/>
    <col min="6" max="7" width="15.7109375" style="304" customWidth="1"/>
    <col min="8" max="8" width="3.7109375" style="304" customWidth="1"/>
    <col min="9" max="10" width="15.7109375" style="304" customWidth="1"/>
    <col min="11" max="11" width="3.28515625" style="304" customWidth="1"/>
    <col min="12" max="17" width="15.7109375" style="304" customWidth="1"/>
    <col min="18" max="16384" width="9.140625" style="304"/>
  </cols>
  <sheetData>
    <row r="1" spans="1:12">
      <c r="A1" s="2685" t="s">
        <v>909</v>
      </c>
      <c r="B1" s="2685"/>
      <c r="C1" s="2685"/>
      <c r="D1" s="2685"/>
      <c r="E1" s="2685"/>
      <c r="F1" s="2685"/>
      <c r="G1" s="2685"/>
      <c r="H1" s="2685"/>
      <c r="I1" s="2685"/>
      <c r="J1" s="2685"/>
      <c r="K1" s="204"/>
      <c r="L1" s="204"/>
    </row>
    <row r="2" spans="1:12">
      <c r="A2" s="210"/>
      <c r="B2" s="210"/>
      <c r="C2" s="210"/>
      <c r="D2" s="210"/>
      <c r="E2" s="210"/>
      <c r="F2" s="210"/>
      <c r="G2" s="210"/>
      <c r="H2" s="210"/>
      <c r="I2" s="210"/>
      <c r="J2" s="210"/>
    </row>
    <row r="3" spans="1:12" ht="100.5">
      <c r="A3" s="426" t="s">
        <v>910</v>
      </c>
      <c r="B3" s="426" t="s">
        <v>2253</v>
      </c>
      <c r="C3" s="426" t="s">
        <v>2254</v>
      </c>
      <c r="D3" s="1146" t="s">
        <v>2255</v>
      </c>
      <c r="E3" s="204"/>
      <c r="F3" s="1146" t="s">
        <v>911</v>
      </c>
      <c r="G3" s="426" t="s">
        <v>912</v>
      </c>
      <c r="H3" s="427"/>
      <c r="I3" s="426" t="s">
        <v>913</v>
      </c>
      <c r="J3" s="426" t="s">
        <v>914</v>
      </c>
      <c r="K3" s="204"/>
      <c r="L3" s="305"/>
    </row>
    <row r="4" spans="1:12">
      <c r="A4" s="428" t="str">
        <f>Application!B718</f>
        <v>SRO/Studio</v>
      </c>
      <c r="B4" s="1082">
        <f>Application!G718</f>
        <v>28</v>
      </c>
      <c r="C4" s="1162"/>
      <c r="D4" s="428">
        <f>Application!O718</f>
        <v>868</v>
      </c>
      <c r="E4" s="429"/>
      <c r="F4" s="1083"/>
      <c r="G4" s="428">
        <f>F4*B4</f>
        <v>0</v>
      </c>
      <c r="H4" s="429"/>
      <c r="I4" s="428" t="str">
        <f t="shared" ref="I4:I27" si="0">IF(F4=0,"",(F4-D4))</f>
        <v/>
      </c>
      <c r="J4" s="428" t="str">
        <f t="shared" ref="J4:J27" si="1">IF(F4=0,"",(I4*B4))</f>
        <v/>
      </c>
      <c r="K4" s="204"/>
      <c r="L4" s="305"/>
    </row>
    <row r="5" spans="1:12">
      <c r="A5" s="428" t="str">
        <f>Application!B719</f>
        <v>SRO/Studio</v>
      </c>
      <c r="B5" s="1082">
        <f>Application!G719</f>
        <v>7</v>
      </c>
      <c r="C5" s="1162"/>
      <c r="D5" s="428">
        <f>Application!O719</f>
        <v>1447</v>
      </c>
      <c r="E5" s="429"/>
      <c r="F5" s="1083"/>
      <c r="G5" s="428">
        <f t="shared" ref="G5:G38" si="2">F5*B5</f>
        <v>0</v>
      </c>
      <c r="H5" s="429"/>
      <c r="I5" s="428" t="str">
        <f t="shared" si="0"/>
        <v/>
      </c>
      <c r="J5" s="428" t="str">
        <f t="shared" si="1"/>
        <v/>
      </c>
      <c r="K5" s="204"/>
      <c r="L5" s="305"/>
    </row>
    <row r="6" spans="1:12">
      <c r="A6" s="428" t="str">
        <f>Application!B720</f>
        <v>SRO/Studio</v>
      </c>
      <c r="B6" s="1082">
        <f>Application!G720</f>
        <v>39</v>
      </c>
      <c r="C6" s="1162"/>
      <c r="D6" s="428">
        <f>Application!O720</f>
        <v>1737</v>
      </c>
      <c r="E6" s="429"/>
      <c r="F6" s="1083"/>
      <c r="G6" s="428">
        <f t="shared" si="2"/>
        <v>0</v>
      </c>
      <c r="H6" s="429"/>
      <c r="I6" s="428" t="str">
        <f t="shared" si="0"/>
        <v/>
      </c>
      <c r="J6" s="428" t="str">
        <f t="shared" si="1"/>
        <v/>
      </c>
      <c r="K6" s="204"/>
      <c r="L6" s="305"/>
    </row>
    <row r="7" spans="1:12">
      <c r="A7" s="428" t="str">
        <f>Application!B721</f>
        <v>1 Bedroom</v>
      </c>
      <c r="B7" s="1082">
        <f>Application!G721</f>
        <v>16</v>
      </c>
      <c r="C7" s="1162"/>
      <c r="D7" s="428">
        <f>Application!O721</f>
        <v>1550</v>
      </c>
      <c r="E7" s="429"/>
      <c r="F7" s="1083"/>
      <c r="G7" s="428">
        <f t="shared" si="2"/>
        <v>0</v>
      </c>
      <c r="H7" s="429"/>
      <c r="I7" s="428" t="str">
        <f t="shared" si="0"/>
        <v/>
      </c>
      <c r="J7" s="428" t="str">
        <f t="shared" si="1"/>
        <v/>
      </c>
      <c r="K7" s="204"/>
      <c r="L7" s="305"/>
    </row>
    <row r="8" spans="1:12">
      <c r="A8" s="428" t="str">
        <f>Application!B722</f>
        <v>1 Bedroom</v>
      </c>
      <c r="B8" s="1082">
        <f>Application!G722</f>
        <v>93</v>
      </c>
      <c r="C8" s="1162"/>
      <c r="D8" s="428">
        <f>Application!O722</f>
        <v>1860</v>
      </c>
      <c r="E8" s="429"/>
      <c r="F8" s="1083"/>
      <c r="G8" s="428">
        <f t="shared" si="2"/>
        <v>0</v>
      </c>
      <c r="H8" s="429"/>
      <c r="I8" s="428" t="str">
        <f t="shared" si="0"/>
        <v/>
      </c>
      <c r="J8" s="428" t="str">
        <f t="shared" si="1"/>
        <v/>
      </c>
      <c r="K8" s="204"/>
      <c r="L8" s="305"/>
    </row>
    <row r="9" spans="1:12">
      <c r="A9" s="428" t="str">
        <f>Application!B723</f>
        <v>1 Bedroom</v>
      </c>
      <c r="B9" s="1082">
        <f>Application!G723</f>
        <v>50</v>
      </c>
      <c r="C9" s="1162"/>
      <c r="D9" s="428">
        <f>Application!O723</f>
        <v>2170</v>
      </c>
      <c r="E9" s="429"/>
      <c r="F9" s="1083"/>
      <c r="G9" s="428">
        <f t="shared" si="2"/>
        <v>0</v>
      </c>
      <c r="H9" s="429"/>
      <c r="I9" s="428" t="str">
        <f t="shared" si="0"/>
        <v/>
      </c>
      <c r="J9" s="428" t="str">
        <f t="shared" si="1"/>
        <v/>
      </c>
      <c r="K9" s="204"/>
      <c r="L9" s="305"/>
    </row>
    <row r="10" spans="1:12">
      <c r="A10" s="428" t="str">
        <f>Application!B724</f>
        <v>2 Bedrooms</v>
      </c>
      <c r="B10" s="1082">
        <f>Application!G724</f>
        <v>3</v>
      </c>
      <c r="C10" s="1162"/>
      <c r="D10" s="428">
        <f>Application!O724</f>
        <v>1861</v>
      </c>
      <c r="E10" s="429"/>
      <c r="F10" s="1083"/>
      <c r="G10" s="428">
        <f t="shared" si="2"/>
        <v>0</v>
      </c>
      <c r="H10" s="429"/>
      <c r="I10" s="428" t="str">
        <f t="shared" si="0"/>
        <v/>
      </c>
      <c r="J10" s="428" t="str">
        <f t="shared" si="1"/>
        <v/>
      </c>
      <c r="K10" s="204"/>
      <c r="L10" s="305"/>
    </row>
    <row r="11" spans="1:12">
      <c r="A11" s="428" t="str">
        <f>Application!B725</f>
        <v>2 Bedrooms</v>
      </c>
      <c r="B11" s="1082">
        <f>Application!G725</f>
        <v>19</v>
      </c>
      <c r="C11" s="1162"/>
      <c r="D11" s="428">
        <f>Application!O725</f>
        <v>2233</v>
      </c>
      <c r="E11" s="429"/>
      <c r="F11" s="1083"/>
      <c r="G11" s="428">
        <f t="shared" si="2"/>
        <v>0</v>
      </c>
      <c r="H11" s="429"/>
      <c r="I11" s="428" t="str">
        <f t="shared" si="0"/>
        <v/>
      </c>
      <c r="J11" s="428" t="str">
        <f t="shared" si="1"/>
        <v/>
      </c>
      <c r="K11" s="204"/>
      <c r="L11" s="305"/>
    </row>
    <row r="12" spans="1:12">
      <c r="A12" s="428" t="str">
        <f>Application!B726</f>
        <v>3 Bedrooms</v>
      </c>
      <c r="B12" s="1082">
        <f>Application!G726</f>
        <v>2</v>
      </c>
      <c r="C12" s="1162"/>
      <c r="D12" s="428">
        <f>Application!O726</f>
        <v>2150</v>
      </c>
      <c r="E12" s="429"/>
      <c r="F12" s="1083"/>
      <c r="G12" s="428">
        <f t="shared" si="2"/>
        <v>0</v>
      </c>
      <c r="H12" s="429"/>
      <c r="I12" s="428" t="str">
        <f t="shared" si="0"/>
        <v/>
      </c>
      <c r="J12" s="428" t="str">
        <f t="shared" si="1"/>
        <v/>
      </c>
      <c r="K12" s="204"/>
      <c r="L12" s="305"/>
    </row>
    <row r="13" spans="1:12">
      <c r="A13" s="428" t="str">
        <f>Application!B727</f>
        <v>3 Bedrooms</v>
      </c>
      <c r="B13" s="1082">
        <f>Application!G727</f>
        <v>12</v>
      </c>
      <c r="C13" s="1162"/>
      <c r="D13" s="428">
        <f>Application!O727</f>
        <v>3010</v>
      </c>
      <c r="E13" s="429"/>
      <c r="F13" s="1083"/>
      <c r="G13" s="428">
        <f t="shared" si="2"/>
        <v>0</v>
      </c>
      <c r="H13" s="429"/>
      <c r="I13" s="428" t="str">
        <f t="shared" si="0"/>
        <v/>
      </c>
      <c r="J13" s="428" t="str">
        <f t="shared" si="1"/>
        <v/>
      </c>
      <c r="K13" s="204"/>
      <c r="L13" s="305"/>
    </row>
    <row r="14" spans="1:12">
      <c r="A14" s="428">
        <f>Application!B728</f>
        <v>0</v>
      </c>
      <c r="B14" s="1082">
        <f>Application!G728</f>
        <v>0</v>
      </c>
      <c r="C14" s="1162"/>
      <c r="D14" s="428">
        <f>Application!O728</f>
        <v>0</v>
      </c>
      <c r="E14" s="429"/>
      <c r="F14" s="1083"/>
      <c r="G14" s="428">
        <f t="shared" si="2"/>
        <v>0</v>
      </c>
      <c r="H14" s="429"/>
      <c r="I14" s="428" t="str">
        <f t="shared" si="0"/>
        <v/>
      </c>
      <c r="J14" s="428" t="str">
        <f t="shared" si="1"/>
        <v/>
      </c>
      <c r="K14" s="204"/>
      <c r="L14" s="305"/>
    </row>
    <row r="15" spans="1:12">
      <c r="A15" s="428">
        <f>Application!B729</f>
        <v>0</v>
      </c>
      <c r="B15" s="1082">
        <f>Application!G729</f>
        <v>0</v>
      </c>
      <c r="C15" s="1162"/>
      <c r="D15" s="428">
        <f>Application!O729</f>
        <v>0</v>
      </c>
      <c r="E15" s="429"/>
      <c r="F15" s="1083"/>
      <c r="G15" s="428">
        <f t="shared" si="2"/>
        <v>0</v>
      </c>
      <c r="H15" s="429"/>
      <c r="I15" s="428" t="str">
        <f t="shared" si="0"/>
        <v/>
      </c>
      <c r="J15" s="428" t="str">
        <f t="shared" si="1"/>
        <v/>
      </c>
      <c r="K15" s="204"/>
      <c r="L15" s="305"/>
    </row>
    <row r="16" spans="1:12">
      <c r="A16" s="428">
        <f>Application!B730</f>
        <v>0</v>
      </c>
      <c r="B16" s="1082">
        <f>Application!G730</f>
        <v>0</v>
      </c>
      <c r="C16" s="1162"/>
      <c r="D16" s="428">
        <f>Application!O730</f>
        <v>0</v>
      </c>
      <c r="E16" s="429"/>
      <c r="F16" s="1083"/>
      <c r="G16" s="428">
        <f t="shared" si="2"/>
        <v>0</v>
      </c>
      <c r="H16" s="429"/>
      <c r="I16" s="428" t="str">
        <f t="shared" si="0"/>
        <v/>
      </c>
      <c r="J16" s="428" t="str">
        <f t="shared" si="1"/>
        <v/>
      </c>
      <c r="K16" s="204"/>
      <c r="L16" s="305"/>
    </row>
    <row r="17" spans="1:12">
      <c r="A17" s="428">
        <f>Application!B731</f>
        <v>0</v>
      </c>
      <c r="B17" s="1082">
        <f>Application!G731</f>
        <v>0</v>
      </c>
      <c r="C17" s="1162"/>
      <c r="D17" s="428">
        <f>Application!O731</f>
        <v>0</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ht="15">
      <c r="A40" s="430" t="s">
        <v>915</v>
      </c>
      <c r="B40" s="431"/>
      <c r="C40" s="431"/>
      <c r="D40" s="432">
        <f>Application!O753</f>
        <v>496886</v>
      </c>
      <c r="E40" s="429"/>
      <c r="F40" s="429"/>
      <c r="G40" s="432">
        <f>SUM(G4:G38)*12</f>
        <v>0</v>
      </c>
      <c r="H40" s="433"/>
      <c r="I40" s="431"/>
      <c r="J40" s="432">
        <f>SUM(J4:J38)*12</f>
        <v>0</v>
      </c>
      <c r="K40" s="204"/>
      <c r="L40" s="306"/>
    </row>
    <row r="41" spans="1:12" ht="15">
      <c r="A41" s="430"/>
      <c r="B41" s="431"/>
      <c r="C41" s="431"/>
      <c r="D41" s="433"/>
      <c r="E41" s="429"/>
      <c r="F41" s="429"/>
      <c r="G41" s="433"/>
      <c r="H41" s="433"/>
      <c r="I41" s="431"/>
      <c r="J41" s="433"/>
      <c r="K41" s="204"/>
      <c r="L41" s="306"/>
    </row>
    <row r="42" spans="1:12">
      <c r="A42" s="304" t="s">
        <v>2256</v>
      </c>
    </row>
    <row r="43" spans="1:12">
      <c r="A43" s="2686" t="s">
        <v>2495</v>
      </c>
      <c r="B43" s="2686"/>
      <c r="C43" s="2686"/>
      <c r="D43" s="2686"/>
      <c r="E43" s="2686"/>
      <c r="F43" s="2686"/>
      <c r="G43" s="2686"/>
      <c r="H43" s="2686"/>
      <c r="I43" s="2686"/>
      <c r="J43" s="2686"/>
    </row>
    <row r="44" spans="1:12">
      <c r="A44" s="2686"/>
      <c r="B44" s="2686"/>
      <c r="C44" s="2686"/>
      <c r="D44" s="2686"/>
      <c r="E44" s="2686"/>
      <c r="F44" s="2686"/>
      <c r="G44" s="2686"/>
      <c r="H44" s="2686"/>
      <c r="I44" s="2686"/>
      <c r="J44" s="2686"/>
    </row>
    <row r="45" spans="1:12">
      <c r="A45" s="2686" t="s">
        <v>2257</v>
      </c>
      <c r="B45" s="2686"/>
      <c r="C45" s="2686"/>
      <c r="D45" s="2686"/>
      <c r="E45" s="2686"/>
      <c r="F45" s="2686"/>
      <c r="G45" s="2686"/>
      <c r="H45" s="2686"/>
      <c r="I45" s="2686"/>
      <c r="J45" s="2686"/>
    </row>
    <row r="46" spans="1:12">
      <c r="A46" s="2686"/>
      <c r="B46" s="2686"/>
      <c r="C46" s="2686"/>
      <c r="D46" s="2686"/>
      <c r="E46" s="2686"/>
      <c r="F46" s="2686"/>
      <c r="G46" s="2686"/>
      <c r="H46" s="2686"/>
      <c r="I46" s="2686"/>
      <c r="J46" s="2686"/>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8"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topLeftCell="A4" workbookViewId="0">
      <selection activeCell="U60" sqref="U60"/>
    </sheetView>
  </sheetViews>
  <sheetFormatPr defaultColWidth="0" defaultRowHeight="12.75" zeroHeight="1"/>
  <cols>
    <col min="1" max="1" width="3.7109375" customWidth="1"/>
    <col min="2" max="2" width="30.5703125" customWidth="1"/>
    <col min="3" max="3" width="9.140625" style="214"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11" t="s">
        <v>2093</v>
      </c>
      <c r="B1" s="211"/>
    </row>
    <row r="2" spans="1:34"/>
    <row r="3" spans="1:34" ht="15.75">
      <c r="A3" s="212" t="s">
        <v>819</v>
      </c>
      <c r="B3" s="212"/>
      <c r="C3" s="235" t="s">
        <v>820</v>
      </c>
      <c r="D3" s="13"/>
      <c r="E3" s="236" t="s">
        <v>821</v>
      </c>
      <c r="F3" s="203"/>
      <c r="G3" s="236" t="s">
        <v>822</v>
      </c>
      <c r="H3" s="203"/>
      <c r="I3" s="236" t="s">
        <v>823</v>
      </c>
      <c r="J3" s="203"/>
      <c r="K3" s="236" t="s">
        <v>824</v>
      </c>
      <c r="L3" s="203"/>
      <c r="M3" s="236" t="s">
        <v>825</v>
      </c>
      <c r="N3" s="203"/>
      <c r="O3" s="236" t="s">
        <v>826</v>
      </c>
      <c r="P3" s="203"/>
      <c r="Q3" s="236" t="s">
        <v>827</v>
      </c>
      <c r="R3" s="203"/>
      <c r="S3" s="236" t="s">
        <v>828</v>
      </c>
      <c r="T3" s="203"/>
      <c r="U3" s="236" t="s">
        <v>829</v>
      </c>
      <c r="V3" s="203"/>
      <c r="W3" s="236" t="s">
        <v>830</v>
      </c>
      <c r="X3" s="203"/>
      <c r="Y3" s="236" t="s">
        <v>831</v>
      </c>
      <c r="Z3" s="203"/>
      <c r="AA3" s="236" t="s">
        <v>832</v>
      </c>
      <c r="AB3" s="203"/>
      <c r="AC3" s="236" t="s">
        <v>833</v>
      </c>
      <c r="AD3" s="203"/>
      <c r="AE3" s="236" t="s">
        <v>834</v>
      </c>
      <c r="AF3" s="203"/>
      <c r="AG3" s="236" t="s">
        <v>835</v>
      </c>
      <c r="AH3" s="13"/>
    </row>
    <row r="4" spans="1:34" s="219" customFormat="1" ht="14.25">
      <c r="A4" s="219" t="s">
        <v>837</v>
      </c>
      <c r="C4" s="237">
        <v>1.0249999999999999</v>
      </c>
      <c r="E4" s="219">
        <f>Application!Y801</f>
        <v>6042708</v>
      </c>
      <c r="G4" s="219">
        <f>E4*$C$4</f>
        <v>6193775.6999999993</v>
      </c>
      <c r="I4" s="219">
        <f>G4*$C$4</f>
        <v>6348620.0924999984</v>
      </c>
      <c r="K4" s="219">
        <f>I4*$C$4</f>
        <v>6507335.5948124975</v>
      </c>
      <c r="M4" s="219">
        <f>K4*$C$4</f>
        <v>6670018.9846828096</v>
      </c>
      <c r="O4" s="219">
        <f>M4*$C$4</f>
        <v>6836769.4592998791</v>
      </c>
      <c r="Q4" s="219">
        <f>O4*$C$4</f>
        <v>7007688.6957823755</v>
      </c>
      <c r="S4" s="219">
        <f>Q4*$C$4</f>
        <v>7182880.9131769342</v>
      </c>
      <c r="U4" s="219">
        <f>S4*$C$4</f>
        <v>7362452.936006357</v>
      </c>
      <c r="W4" s="219">
        <f>U4*$C$4</f>
        <v>7546514.2594065154</v>
      </c>
      <c r="Y4" s="219">
        <f>W4*$C$4</f>
        <v>7735177.1158916773</v>
      </c>
      <c r="AA4" s="219">
        <f>Y4*$C$4</f>
        <v>7928556.5437889686</v>
      </c>
      <c r="AC4" s="219">
        <f>AA4*$C$4</f>
        <v>8126770.4573836923</v>
      </c>
      <c r="AE4" s="219">
        <f>AC4*$C$4</f>
        <v>8329939.7188182836</v>
      </c>
      <c r="AG4" s="219">
        <f>AE4*$C$4</f>
        <v>8538188.21178874</v>
      </c>
    </row>
    <row r="5" spans="1:34" s="210" customFormat="1" ht="14.25">
      <c r="B5" s="210" t="s">
        <v>838</v>
      </c>
      <c r="C5" s="238">
        <f>IF(Application!$D$211="Special Needs",(((0.1*Application!$T$212)+(0.05*(1-Application!$T$212)))),0.05)</f>
        <v>0.05</v>
      </c>
      <c r="E5" s="221">
        <f>-E4*$C$5</f>
        <v>-302135.40000000002</v>
      </c>
      <c r="F5" s="221"/>
      <c r="G5" s="221">
        <f>-G4*$C$5</f>
        <v>-309688.78499999997</v>
      </c>
      <c r="H5" s="221"/>
      <c r="I5" s="221">
        <f>-I4*$C$5</f>
        <v>-317431.00462499994</v>
      </c>
      <c r="J5" s="221"/>
      <c r="K5" s="221">
        <f>-K4*$C$5</f>
        <v>-325366.77974062489</v>
      </c>
      <c r="L5" s="221"/>
      <c r="M5" s="221">
        <f>-M4*$C$5</f>
        <v>-333500.94923414051</v>
      </c>
      <c r="N5" s="221"/>
      <c r="O5" s="221">
        <f>-O4*$C$5</f>
        <v>-341838.47296499397</v>
      </c>
      <c r="P5" s="221"/>
      <c r="Q5" s="221">
        <f>-Q4*$C$5</f>
        <v>-350384.43478911882</v>
      </c>
      <c r="R5" s="221"/>
      <c r="S5" s="221">
        <f>-S4*$C$5</f>
        <v>-359144.04565884674</v>
      </c>
      <c r="T5" s="221"/>
      <c r="U5" s="221">
        <f>-U4*$C$5</f>
        <v>-368122.64680031786</v>
      </c>
      <c r="V5" s="221"/>
      <c r="W5" s="221">
        <f>-W4*$C$5</f>
        <v>-377325.71297032578</v>
      </c>
      <c r="X5" s="221"/>
      <c r="Y5" s="221">
        <f>-Y4*$C$5</f>
        <v>-386758.85579458391</v>
      </c>
      <c r="Z5" s="221"/>
      <c r="AA5" s="221">
        <f>-AA4*$C$5</f>
        <v>-396427.82718944846</v>
      </c>
      <c r="AB5" s="221"/>
      <c r="AC5" s="221">
        <f>-AC4*$C$5</f>
        <v>-406338.52286918461</v>
      </c>
      <c r="AD5" s="221"/>
      <c r="AE5" s="221">
        <f>-AE4*$C$5</f>
        <v>-416496.98594091419</v>
      </c>
      <c r="AF5" s="221"/>
      <c r="AG5" s="221">
        <f>-AG4*$C$5</f>
        <v>-426909.410589437</v>
      </c>
    </row>
    <row r="6" spans="1:34" s="210" customFormat="1" ht="14.25">
      <c r="A6" s="210" t="s">
        <v>836</v>
      </c>
      <c r="C6" s="237">
        <v>1.0249999999999999</v>
      </c>
      <c r="E6" s="222">
        <f>Application!Z809</f>
        <v>0</v>
      </c>
      <c r="F6" s="222"/>
      <c r="G6" s="222">
        <f>E6*$C$6</f>
        <v>0</v>
      </c>
      <c r="H6" s="222"/>
      <c r="I6" s="222">
        <f>G6*$C$6</f>
        <v>0</v>
      </c>
      <c r="J6" s="222"/>
      <c r="K6" s="222">
        <f>I6*$C$6</f>
        <v>0</v>
      </c>
      <c r="L6" s="222"/>
      <c r="M6" s="222">
        <f>K6*$C$6</f>
        <v>0</v>
      </c>
      <c r="N6" s="222"/>
      <c r="O6" s="222">
        <f>M6*$C$6</f>
        <v>0</v>
      </c>
      <c r="P6" s="222"/>
      <c r="Q6" s="222">
        <f>O6*$C$6</f>
        <v>0</v>
      </c>
      <c r="R6" s="222"/>
      <c r="S6" s="222">
        <f>Q6*$C$6</f>
        <v>0</v>
      </c>
      <c r="T6" s="222"/>
      <c r="U6" s="222">
        <f>S6*$C$6</f>
        <v>0</v>
      </c>
      <c r="V6" s="222"/>
      <c r="W6" s="222">
        <f>U6*$C$6</f>
        <v>0</v>
      </c>
      <c r="X6" s="222"/>
      <c r="Y6" s="222">
        <f>W6*$C$6</f>
        <v>0</v>
      </c>
      <c r="Z6" s="222"/>
      <c r="AA6" s="222">
        <f>Y6*$C$6</f>
        <v>0</v>
      </c>
      <c r="AB6" s="222"/>
      <c r="AC6" s="222">
        <f>AA6*$C$6</f>
        <v>0</v>
      </c>
      <c r="AD6" s="222"/>
      <c r="AE6" s="222">
        <f>AC6*$C$6</f>
        <v>0</v>
      </c>
      <c r="AF6" s="222"/>
      <c r="AG6" s="222">
        <f>AE6*$C$6</f>
        <v>0</v>
      </c>
    </row>
    <row r="7" spans="1:34" s="210" customFormat="1" ht="14.25">
      <c r="B7" s="210" t="s">
        <v>838</v>
      </c>
      <c r="C7" s="238">
        <f>IF(Application!$D$211="Special Needs",(((0.1*Application!$T$212)+(0.05*(1-Application!$T$212)))),0.05)</f>
        <v>0.05</v>
      </c>
      <c r="E7" s="221">
        <f>-E6*$C$7</f>
        <v>0</v>
      </c>
      <c r="F7" s="221"/>
      <c r="G7" s="221">
        <f>-G6*$C$7</f>
        <v>0</v>
      </c>
      <c r="H7" s="221"/>
      <c r="I7" s="221">
        <f>-I6*$C$7</f>
        <v>0</v>
      </c>
      <c r="J7" s="221"/>
      <c r="K7" s="221">
        <f>-K6*$C$7</f>
        <v>0</v>
      </c>
      <c r="L7" s="221"/>
      <c r="M7" s="221">
        <f>-M6*$C$7</f>
        <v>0</v>
      </c>
      <c r="N7" s="221"/>
      <c r="O7" s="221">
        <f>-O6*$C$7</f>
        <v>0</v>
      </c>
      <c r="P7" s="221"/>
      <c r="Q7" s="221">
        <f>-Q6*$C$7</f>
        <v>0</v>
      </c>
      <c r="R7" s="221"/>
      <c r="S7" s="221">
        <f>-S6*$C$7</f>
        <v>0</v>
      </c>
      <c r="T7" s="221"/>
      <c r="U7" s="221">
        <f>-U6*$C$7</f>
        <v>0</v>
      </c>
      <c r="V7" s="221"/>
      <c r="W7" s="221">
        <f>-W6*$C$7</f>
        <v>0</v>
      </c>
      <c r="X7" s="221"/>
      <c r="Y7" s="221">
        <f>-Y6*$C$7</f>
        <v>0</v>
      </c>
      <c r="Z7" s="221"/>
      <c r="AA7" s="221">
        <f>-AA6*$C$7</f>
        <v>0</v>
      </c>
      <c r="AB7" s="221"/>
      <c r="AC7" s="221">
        <f>-AC6*$C$7</f>
        <v>0</v>
      </c>
      <c r="AD7" s="221"/>
      <c r="AE7" s="221">
        <f>-AE6*$C$7</f>
        <v>0</v>
      </c>
      <c r="AF7" s="221"/>
      <c r="AG7" s="221">
        <f>-AG6*$C$7</f>
        <v>0</v>
      </c>
    </row>
    <row r="8" spans="1:34" s="210" customFormat="1" ht="14.25">
      <c r="A8" s="210" t="s">
        <v>287</v>
      </c>
      <c r="C8" s="237">
        <v>1.0249999999999999</v>
      </c>
      <c r="E8" s="222">
        <f>Application!Z817</f>
        <v>74000</v>
      </c>
      <c r="F8" s="222"/>
      <c r="G8" s="222">
        <f>E8*$C$8</f>
        <v>75850</v>
      </c>
      <c r="H8" s="222"/>
      <c r="I8" s="222">
        <f>G8*$C$8</f>
        <v>77746.25</v>
      </c>
      <c r="J8" s="222"/>
      <c r="K8" s="222">
        <f>I8*$C$8</f>
        <v>79689.90625</v>
      </c>
      <c r="L8" s="222"/>
      <c r="M8" s="222">
        <f>K8*$C$8</f>
        <v>81682.153906249994</v>
      </c>
      <c r="N8" s="222"/>
      <c r="O8" s="222">
        <f>M8*$C$8</f>
        <v>83724.20775390623</v>
      </c>
      <c r="P8" s="222"/>
      <c r="Q8" s="222">
        <f>O8*$C$8</f>
        <v>85817.312947753875</v>
      </c>
      <c r="R8" s="222"/>
      <c r="S8" s="222">
        <f>Q8*$C$8</f>
        <v>87962.74577144772</v>
      </c>
      <c r="T8" s="222"/>
      <c r="U8" s="222">
        <f>S8*$C$8</f>
        <v>90161.814415733912</v>
      </c>
      <c r="V8" s="222"/>
      <c r="W8" s="222">
        <f>U8*$C$8</f>
        <v>92415.859776127254</v>
      </c>
      <c r="X8" s="222"/>
      <c r="Y8" s="222">
        <f>W8*$C$8</f>
        <v>94726.25627053043</v>
      </c>
      <c r="Z8" s="222"/>
      <c r="AA8" s="222">
        <f>Y8*$C$8</f>
        <v>97094.412677293687</v>
      </c>
      <c r="AB8" s="222"/>
      <c r="AC8" s="222">
        <f>AA8*$C$8</f>
        <v>99521.772994226019</v>
      </c>
      <c r="AD8" s="222"/>
      <c r="AE8" s="222">
        <f>AC8*$C$8</f>
        <v>102009.81731908166</v>
      </c>
      <c r="AF8" s="222"/>
      <c r="AG8" s="222">
        <f>AE8*$C$8</f>
        <v>104560.06275205869</v>
      </c>
    </row>
    <row r="9" spans="1:34" s="210" customFormat="1" ht="14.25">
      <c r="B9" s="210" t="s">
        <v>838</v>
      </c>
      <c r="C9" s="238">
        <f>IF(Application!$D$211="Special Needs",(((0.1*Application!$T$212)+(0.05*(1-Application!$T$212)))),0.05)</f>
        <v>0.05</v>
      </c>
      <c r="E9" s="221">
        <f>-E8*$C$9</f>
        <v>-3700</v>
      </c>
      <c r="F9" s="221"/>
      <c r="G9" s="221">
        <f>-G8*$C$9</f>
        <v>-3792.5</v>
      </c>
      <c r="H9" s="221"/>
      <c r="I9" s="221">
        <f>-I8*$C$9</f>
        <v>-3887.3125</v>
      </c>
      <c r="J9" s="221"/>
      <c r="K9" s="221">
        <f>-K8*$C$9</f>
        <v>-3984.4953125000002</v>
      </c>
      <c r="L9" s="221"/>
      <c r="M9" s="221">
        <f>-M8*$C$9</f>
        <v>-4084.1076953124998</v>
      </c>
      <c r="N9" s="221"/>
      <c r="O9" s="221">
        <f>-O8*$C$9</f>
        <v>-4186.2103876953115</v>
      </c>
      <c r="P9" s="221"/>
      <c r="Q9" s="221">
        <f>-Q8*$C$9</f>
        <v>-4290.8656473876936</v>
      </c>
      <c r="R9" s="221"/>
      <c r="S9" s="221">
        <f>-S8*$C$9</f>
        <v>-4398.1372885723858</v>
      </c>
      <c r="T9" s="221"/>
      <c r="U9" s="221">
        <f>-U8*$C$9</f>
        <v>-4508.0907207866958</v>
      </c>
      <c r="V9" s="221"/>
      <c r="W9" s="221">
        <f>-W8*$C$9</f>
        <v>-4620.7929888063627</v>
      </c>
      <c r="X9" s="221"/>
      <c r="Y9" s="221">
        <f>-Y8*$C$9</f>
        <v>-4736.3128135265215</v>
      </c>
      <c r="Z9" s="221"/>
      <c r="AA9" s="221">
        <f>-AA8*$C$9</f>
        <v>-4854.7206338646847</v>
      </c>
      <c r="AB9" s="221"/>
      <c r="AC9" s="221">
        <f>-AC8*$C$9</f>
        <v>-4976.0886497113015</v>
      </c>
      <c r="AD9" s="221"/>
      <c r="AE9" s="221">
        <f>-AE8*$C$9</f>
        <v>-5100.4908659540833</v>
      </c>
      <c r="AF9" s="221"/>
      <c r="AG9" s="221">
        <f>-AG8*$C$9</f>
        <v>-5228.0031376029347</v>
      </c>
    </row>
    <row r="10" spans="1:34" s="210" customFormat="1" ht="14.25">
      <c r="A10" s="1143" t="s">
        <v>2716</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5">
      <c r="A11" s="223" t="s">
        <v>859</v>
      </c>
      <c r="C11" s="216"/>
      <c r="E11" s="223">
        <f>SUM(E4:E10)</f>
        <v>5810872.5999999996</v>
      </c>
      <c r="G11" s="223">
        <f>SUM(G4:G10)</f>
        <v>5956144.4149999991</v>
      </c>
      <c r="I11" s="223">
        <f>SUM(I4:I10)</f>
        <v>6105048.0253749983</v>
      </c>
      <c r="K11" s="223">
        <f>SUM(K4:K10)</f>
        <v>6257674.2260093726</v>
      </c>
      <c r="M11" s="223">
        <f>SUM(M4:M10)</f>
        <v>6414116.0816596076</v>
      </c>
      <c r="O11" s="223">
        <f>SUM(O4:O10)</f>
        <v>6574468.9837010959</v>
      </c>
      <c r="Q11" s="223">
        <f>SUM(Q4:Q10)</f>
        <v>6738830.7082936233</v>
      </c>
      <c r="S11" s="223">
        <f>SUM(S4:S10)</f>
        <v>6907301.4760009637</v>
      </c>
      <c r="U11" s="223">
        <f>SUM(U4:U10)</f>
        <v>7079984.0129009867</v>
      </c>
      <c r="W11" s="223">
        <f>SUM(W4:W10)</f>
        <v>7256983.6132235108</v>
      </c>
      <c r="Y11" s="223">
        <f>SUM(Y4:Y10)</f>
        <v>7438408.2035540976</v>
      </c>
      <c r="AA11" s="223">
        <f>SUM(AA4:AA10)</f>
        <v>7624368.4086429495</v>
      </c>
      <c r="AC11" s="223">
        <f>SUM(AC4:AC10)</f>
        <v>7814977.6188590219</v>
      </c>
      <c r="AE11" s="223">
        <f>SUM(AE4:AE10)</f>
        <v>8010352.0593304969</v>
      </c>
      <c r="AG11" s="223">
        <f>SUM(AG4:AG10)</f>
        <v>8210610.8608137593</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75">
      <c r="A13" s="212" t="s">
        <v>839</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25">
      <c r="A14" s="210" t="s">
        <v>840</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25">
      <c r="A15" s="219" t="s">
        <v>841</v>
      </c>
      <c r="C15" s="176"/>
      <c r="E15" s="219">
        <f>Application!W847</f>
        <v>126000</v>
      </c>
      <c r="G15" s="219">
        <f>E15*$C$14</f>
        <v>130409.99999999999</v>
      </c>
      <c r="I15" s="219">
        <f>G15*$C$14</f>
        <v>134974.34999999998</v>
      </c>
      <c r="K15" s="219">
        <f>I15*$C$14</f>
        <v>139698.45224999997</v>
      </c>
      <c r="M15" s="219">
        <f>K15*$C$14</f>
        <v>144587.89807874997</v>
      </c>
      <c r="O15" s="219">
        <f>M15*$C$14</f>
        <v>149648.47451150621</v>
      </c>
      <c r="Q15" s="219">
        <f>O15*$C$14</f>
        <v>154886.17111940891</v>
      </c>
      <c r="S15" s="219">
        <f>Q15*$C$14</f>
        <v>160307.1871085882</v>
      </c>
      <c r="U15" s="219">
        <f>S15*$C$14</f>
        <v>165917.93865738879</v>
      </c>
      <c r="W15" s="219">
        <f>U15*$C$14</f>
        <v>171725.06651039739</v>
      </c>
      <c r="Y15" s="219">
        <f>W15*$C$14</f>
        <v>177735.44383826127</v>
      </c>
      <c r="AA15" s="219">
        <f>Y15*$C$14</f>
        <v>183956.1843726004</v>
      </c>
      <c r="AC15" s="219">
        <f>AA15*$C$14</f>
        <v>190394.65082564141</v>
      </c>
      <c r="AE15" s="219">
        <f>AC15*$C$14</f>
        <v>197058.46360453885</v>
      </c>
      <c r="AG15" s="219">
        <f>AE15*$C$14</f>
        <v>203955.5098306977</v>
      </c>
    </row>
    <row r="16" spans="1:34" s="210" customFormat="1" ht="14.25">
      <c r="A16" s="210" t="s">
        <v>343</v>
      </c>
      <c r="C16" s="233"/>
      <c r="E16" s="222">
        <f>Application!W849</f>
        <v>174326</v>
      </c>
      <c r="F16" s="222"/>
      <c r="G16" s="222">
        <f t="shared" ref="G16:AG21" si="0">E16*$C$14</f>
        <v>180427.40999999997</v>
      </c>
      <c r="H16" s="222"/>
      <c r="I16" s="222">
        <f t="shared" si="0"/>
        <v>186742.36934999996</v>
      </c>
      <c r="J16" s="222"/>
      <c r="K16" s="222">
        <f t="shared" si="0"/>
        <v>193278.35227724994</v>
      </c>
      <c r="L16" s="222"/>
      <c r="M16" s="222">
        <f t="shared" si="0"/>
        <v>200043.09460695367</v>
      </c>
      <c r="N16" s="222"/>
      <c r="O16" s="222">
        <f t="shared" si="0"/>
        <v>207044.60291819702</v>
      </c>
      <c r="P16" s="222"/>
      <c r="Q16" s="222">
        <f t="shared" si="0"/>
        <v>214291.1640203339</v>
      </c>
      <c r="R16" s="222"/>
      <c r="S16" s="222">
        <f t="shared" si="0"/>
        <v>221791.35476104557</v>
      </c>
      <c r="T16" s="222"/>
      <c r="U16" s="222">
        <f t="shared" si="0"/>
        <v>229554.05217768214</v>
      </c>
      <c r="V16" s="222"/>
      <c r="W16" s="222">
        <f t="shared" si="0"/>
        <v>237588.44400390101</v>
      </c>
      <c r="X16" s="222"/>
      <c r="Y16" s="222">
        <f t="shared" si="0"/>
        <v>245904.03954403751</v>
      </c>
      <c r="Z16" s="222"/>
      <c r="AA16" s="222">
        <f t="shared" si="0"/>
        <v>254510.6809280788</v>
      </c>
      <c r="AB16" s="222"/>
      <c r="AC16" s="222">
        <f t="shared" si="0"/>
        <v>263418.55476056156</v>
      </c>
      <c r="AD16" s="222"/>
      <c r="AE16" s="222">
        <f t="shared" si="0"/>
        <v>272638.20417718118</v>
      </c>
      <c r="AF16" s="222"/>
      <c r="AG16" s="222">
        <f t="shared" si="0"/>
        <v>282180.54132338252</v>
      </c>
    </row>
    <row r="17" spans="1:33" s="210" customFormat="1" ht="14.25">
      <c r="A17" s="210" t="s">
        <v>561</v>
      </c>
      <c r="C17" s="233"/>
      <c r="E17" s="222">
        <f>Application!W855</f>
        <v>254188</v>
      </c>
      <c r="F17" s="222"/>
      <c r="G17" s="222">
        <f t="shared" si="0"/>
        <v>263084.57999999996</v>
      </c>
      <c r="H17" s="222"/>
      <c r="I17" s="222">
        <f t="shared" si="0"/>
        <v>272292.54029999994</v>
      </c>
      <c r="J17" s="222"/>
      <c r="K17" s="222">
        <f t="shared" si="0"/>
        <v>281822.7792104999</v>
      </c>
      <c r="L17" s="222"/>
      <c r="M17" s="222">
        <f t="shared" si="0"/>
        <v>291686.57648286736</v>
      </c>
      <c r="N17" s="222"/>
      <c r="O17" s="222">
        <f t="shared" si="0"/>
        <v>301895.60665976768</v>
      </c>
      <c r="P17" s="222"/>
      <c r="Q17" s="222">
        <f t="shared" si="0"/>
        <v>312461.95289285952</v>
      </c>
      <c r="R17" s="222"/>
      <c r="S17" s="222">
        <f t="shared" si="0"/>
        <v>323398.12124410958</v>
      </c>
      <c r="T17" s="222"/>
      <c r="U17" s="222">
        <f t="shared" si="0"/>
        <v>334717.05548765342</v>
      </c>
      <c r="V17" s="222"/>
      <c r="W17" s="222">
        <f t="shared" si="0"/>
        <v>346432.15242972126</v>
      </c>
      <c r="X17" s="222"/>
      <c r="Y17" s="222">
        <f t="shared" si="0"/>
        <v>358557.27776476147</v>
      </c>
      <c r="Z17" s="222"/>
      <c r="AA17" s="222">
        <f t="shared" si="0"/>
        <v>371106.7824865281</v>
      </c>
      <c r="AB17" s="222"/>
      <c r="AC17" s="222">
        <f t="shared" si="0"/>
        <v>384095.51987355656</v>
      </c>
      <c r="AD17" s="222"/>
      <c r="AE17" s="222">
        <f t="shared" si="0"/>
        <v>397538.86306913104</v>
      </c>
      <c r="AF17" s="222"/>
      <c r="AG17" s="222">
        <f t="shared" si="0"/>
        <v>411452.72327655059</v>
      </c>
    </row>
    <row r="18" spans="1:33" s="210" customFormat="1" ht="14.25">
      <c r="A18" s="210" t="s">
        <v>842</v>
      </c>
      <c r="C18" s="233"/>
      <c r="E18" s="222">
        <f>Application!W862</f>
        <v>396236</v>
      </c>
      <c r="F18" s="222"/>
      <c r="G18" s="222">
        <f t="shared" si="0"/>
        <v>410104.25999999995</v>
      </c>
      <c r="H18" s="222"/>
      <c r="I18" s="222">
        <f t="shared" si="0"/>
        <v>424457.90909999993</v>
      </c>
      <c r="J18" s="222"/>
      <c r="K18" s="222">
        <f t="shared" si="0"/>
        <v>439313.93591849989</v>
      </c>
      <c r="L18" s="222"/>
      <c r="M18" s="222">
        <f t="shared" si="0"/>
        <v>454689.92367564735</v>
      </c>
      <c r="N18" s="222"/>
      <c r="O18" s="222">
        <f t="shared" si="0"/>
        <v>470604.07100429496</v>
      </c>
      <c r="P18" s="222"/>
      <c r="Q18" s="222">
        <f t="shared" si="0"/>
        <v>487075.21348944528</v>
      </c>
      <c r="R18" s="222"/>
      <c r="S18" s="222">
        <f t="shared" si="0"/>
        <v>504122.8459615758</v>
      </c>
      <c r="T18" s="222"/>
      <c r="U18" s="222">
        <f t="shared" si="0"/>
        <v>521767.1455702309</v>
      </c>
      <c r="V18" s="222"/>
      <c r="W18" s="222">
        <f t="shared" si="0"/>
        <v>540028.995665189</v>
      </c>
      <c r="X18" s="222"/>
      <c r="Y18" s="222">
        <f t="shared" si="0"/>
        <v>558930.01051347062</v>
      </c>
      <c r="Z18" s="222"/>
      <c r="AA18" s="222">
        <f t="shared" si="0"/>
        <v>578492.56088144204</v>
      </c>
      <c r="AB18" s="222"/>
      <c r="AC18" s="222">
        <f t="shared" si="0"/>
        <v>598739.80051229242</v>
      </c>
      <c r="AD18" s="222"/>
      <c r="AE18" s="222">
        <f t="shared" si="0"/>
        <v>619695.69353022263</v>
      </c>
      <c r="AF18" s="222"/>
      <c r="AG18" s="222">
        <f t="shared" si="0"/>
        <v>641385.04280378041</v>
      </c>
    </row>
    <row r="19" spans="1:33" s="210" customFormat="1" ht="14.25">
      <c r="A19" s="210" t="s">
        <v>155</v>
      </c>
      <c r="C19" s="233"/>
      <c r="E19" s="222">
        <f>Application!W863</f>
        <v>272272</v>
      </c>
      <c r="F19" s="222"/>
      <c r="G19" s="222">
        <f t="shared" si="0"/>
        <v>281801.51999999996</v>
      </c>
      <c r="H19" s="222"/>
      <c r="I19" s="222">
        <f t="shared" si="0"/>
        <v>291664.57319999993</v>
      </c>
      <c r="J19" s="222"/>
      <c r="K19" s="222">
        <f t="shared" si="0"/>
        <v>301872.83326199988</v>
      </c>
      <c r="L19" s="222"/>
      <c r="M19" s="222">
        <f t="shared" si="0"/>
        <v>312438.38242616988</v>
      </c>
      <c r="N19" s="222"/>
      <c r="O19" s="222">
        <f t="shared" si="0"/>
        <v>323373.72581108578</v>
      </c>
      <c r="P19" s="222"/>
      <c r="Q19" s="222">
        <f t="shared" si="0"/>
        <v>334691.80621447373</v>
      </c>
      <c r="R19" s="222"/>
      <c r="S19" s="222">
        <f t="shared" si="0"/>
        <v>346406.01943198027</v>
      </c>
      <c r="T19" s="222"/>
      <c r="U19" s="222">
        <f t="shared" si="0"/>
        <v>358530.23011209955</v>
      </c>
      <c r="V19" s="222"/>
      <c r="W19" s="222">
        <f t="shared" si="0"/>
        <v>371078.78816602303</v>
      </c>
      <c r="X19" s="222"/>
      <c r="Y19" s="222">
        <f t="shared" si="0"/>
        <v>384066.54575183382</v>
      </c>
      <c r="Z19" s="222"/>
      <c r="AA19" s="222">
        <f t="shared" si="0"/>
        <v>397508.87485314795</v>
      </c>
      <c r="AB19" s="222"/>
      <c r="AC19" s="222">
        <f t="shared" si="0"/>
        <v>411421.68547300808</v>
      </c>
      <c r="AD19" s="222"/>
      <c r="AE19" s="222">
        <f t="shared" si="0"/>
        <v>425821.44446456333</v>
      </c>
      <c r="AF19" s="222"/>
      <c r="AG19" s="222">
        <f t="shared" si="0"/>
        <v>440725.19502082304</v>
      </c>
    </row>
    <row r="20" spans="1:33" s="210" customFormat="1" ht="14.25">
      <c r="A20" s="210" t="s">
        <v>389</v>
      </c>
      <c r="C20" s="233"/>
      <c r="E20" s="222">
        <f>Application!W872</f>
        <v>250644</v>
      </c>
      <c r="F20" s="222"/>
      <c r="G20" s="222">
        <f t="shared" si="0"/>
        <v>259416.53999999998</v>
      </c>
      <c r="H20" s="222"/>
      <c r="I20" s="222">
        <f t="shared" si="0"/>
        <v>268496.11889999994</v>
      </c>
      <c r="J20" s="222"/>
      <c r="K20" s="222">
        <f t="shared" si="0"/>
        <v>277893.48306149989</v>
      </c>
      <c r="L20" s="222"/>
      <c r="M20" s="222">
        <f t="shared" si="0"/>
        <v>287619.75496865239</v>
      </c>
      <c r="N20" s="222"/>
      <c r="O20" s="222">
        <f t="shared" si="0"/>
        <v>297686.4463925552</v>
      </c>
      <c r="P20" s="222"/>
      <c r="Q20" s="222">
        <f t="shared" si="0"/>
        <v>308105.4720162946</v>
      </c>
      <c r="R20" s="222"/>
      <c r="S20" s="222">
        <f t="shared" si="0"/>
        <v>318889.16353686491</v>
      </c>
      <c r="T20" s="222"/>
      <c r="U20" s="222">
        <f t="shared" si="0"/>
        <v>330050.28426065517</v>
      </c>
      <c r="V20" s="222"/>
      <c r="W20" s="222">
        <f t="shared" si="0"/>
        <v>341602.04420977808</v>
      </c>
      <c r="X20" s="222"/>
      <c r="Y20" s="222">
        <f t="shared" si="0"/>
        <v>353558.11575712031</v>
      </c>
      <c r="Z20" s="222"/>
      <c r="AA20" s="222">
        <f t="shared" si="0"/>
        <v>365932.64980861946</v>
      </c>
      <c r="AB20" s="222"/>
      <c r="AC20" s="222">
        <f t="shared" si="0"/>
        <v>378740.2925519211</v>
      </c>
      <c r="AD20" s="222"/>
      <c r="AE20" s="222">
        <f t="shared" si="0"/>
        <v>391996.20279123832</v>
      </c>
      <c r="AF20" s="222"/>
      <c r="AG20" s="222">
        <f t="shared" si="0"/>
        <v>405716.06988893164</v>
      </c>
    </row>
    <row r="21" spans="1:33" s="210" customFormat="1" ht="14.25">
      <c r="A21" s="226" t="s">
        <v>2717</v>
      </c>
      <c r="B21" s="226"/>
      <c r="C21" s="233"/>
      <c r="E21" s="232">
        <f>Application!W879</f>
        <v>80040</v>
      </c>
      <c r="F21" s="222"/>
      <c r="G21" s="232">
        <f t="shared" si="0"/>
        <v>82841.399999999994</v>
      </c>
      <c r="H21" s="222"/>
      <c r="I21" s="232">
        <f t="shared" si="0"/>
        <v>85740.848999999987</v>
      </c>
      <c r="J21" s="222"/>
      <c r="K21" s="232">
        <f t="shared" si="0"/>
        <v>88741.778714999979</v>
      </c>
      <c r="L21" s="222"/>
      <c r="M21" s="232">
        <f t="shared" si="0"/>
        <v>91847.74097002497</v>
      </c>
      <c r="N21" s="222"/>
      <c r="O21" s="232">
        <f t="shared" si="0"/>
        <v>95062.411903975837</v>
      </c>
      <c r="P21" s="222"/>
      <c r="Q21" s="232">
        <f t="shared" si="0"/>
        <v>98389.59632061499</v>
      </c>
      <c r="R21" s="222"/>
      <c r="S21" s="232">
        <f t="shared" si="0"/>
        <v>101833.23219183651</v>
      </c>
      <c r="T21" s="222"/>
      <c r="U21" s="232">
        <f t="shared" si="0"/>
        <v>105397.39531855077</v>
      </c>
      <c r="V21" s="222"/>
      <c r="W21" s="232">
        <f t="shared" si="0"/>
        <v>109086.30415470003</v>
      </c>
      <c r="X21" s="222"/>
      <c r="Y21" s="232">
        <f t="shared" si="0"/>
        <v>112904.32480011453</v>
      </c>
      <c r="Z21" s="222"/>
      <c r="AA21" s="232">
        <f t="shared" si="0"/>
        <v>116855.97616811852</v>
      </c>
      <c r="AB21" s="222"/>
      <c r="AC21" s="232">
        <f t="shared" si="0"/>
        <v>120945.93533400266</v>
      </c>
      <c r="AD21" s="222"/>
      <c r="AE21" s="232">
        <f t="shared" si="0"/>
        <v>125179.04307069274</v>
      </c>
      <c r="AF21" s="222"/>
      <c r="AG21" s="232">
        <f t="shared" si="0"/>
        <v>129560.30957816698</v>
      </c>
    </row>
    <row r="22" spans="1:33" s="223" customFormat="1" ht="15">
      <c r="A22" s="223" t="s">
        <v>843</v>
      </c>
      <c r="C22" s="233"/>
      <c r="E22" s="223">
        <f>SUM(E15:E21)</f>
        <v>1553706</v>
      </c>
      <c r="G22" s="223">
        <f>SUM(G15:G21)</f>
        <v>1608085.71</v>
      </c>
      <c r="I22" s="223">
        <f>SUM(I15:I21)</f>
        <v>1664368.7098499995</v>
      </c>
      <c r="K22" s="223">
        <f>SUM(K15:K21)</f>
        <v>1722621.6146947495</v>
      </c>
      <c r="M22" s="223">
        <f>SUM(M15:M21)</f>
        <v>1782913.3712090657</v>
      </c>
      <c r="O22" s="223">
        <f>SUM(O15:O21)</f>
        <v>1845315.3392013826</v>
      </c>
      <c r="Q22" s="223">
        <f>SUM(Q15:Q21)</f>
        <v>1909901.3760734305</v>
      </c>
      <c r="S22" s="223">
        <f>SUM(S15:S21)</f>
        <v>1976747.924236001</v>
      </c>
      <c r="U22" s="223">
        <f>SUM(U15:U21)</f>
        <v>2045934.1015842606</v>
      </c>
      <c r="W22" s="223">
        <f>SUM(W15:W21)</f>
        <v>2117541.79513971</v>
      </c>
      <c r="Y22" s="223">
        <f>SUM(Y15:Y21)</f>
        <v>2191655.7579695997</v>
      </c>
      <c r="AA22" s="223">
        <f>SUM(AA15:AA21)</f>
        <v>2268363.7094985349</v>
      </c>
      <c r="AC22" s="223">
        <f>SUM(AC15:AC21)</f>
        <v>2347756.4393309839</v>
      </c>
      <c r="AE22" s="223">
        <f>SUM(AE15:AE21)</f>
        <v>2429927.914707568</v>
      </c>
      <c r="AG22" s="223">
        <f>SUM(AG15:AG21)</f>
        <v>2514975.3917223327</v>
      </c>
    </row>
    <row r="23" spans="1:33" s="210" customFormat="1" ht="14.25">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25">
      <c r="A24" s="210" t="s">
        <v>1681</v>
      </c>
      <c r="C24" s="233">
        <v>1.02</v>
      </c>
      <c r="E24" s="910">
        <v>575250</v>
      </c>
      <c r="F24" s="222"/>
      <c r="G24" s="222">
        <f>E24*$C$24</f>
        <v>586755</v>
      </c>
      <c r="H24" s="222"/>
      <c r="I24" s="222">
        <f>G24*$C$24</f>
        <v>598490.1</v>
      </c>
      <c r="J24" s="222"/>
      <c r="K24" s="222">
        <f>I24*$C$24</f>
        <v>610459.902</v>
      </c>
      <c r="L24" s="222"/>
      <c r="M24" s="222">
        <f>K24*$C$24</f>
        <v>622669.10004000005</v>
      </c>
      <c r="N24" s="222"/>
      <c r="O24" s="222">
        <f>M24*$C$24</f>
        <v>635122.48204080004</v>
      </c>
      <c r="P24" s="222"/>
      <c r="Q24" s="222">
        <f>O24*$C$24</f>
        <v>647824.931681616</v>
      </c>
      <c r="R24" s="222"/>
      <c r="S24" s="222">
        <f>Q24*$C$24</f>
        <v>660781.43031524832</v>
      </c>
      <c r="T24" s="222"/>
      <c r="U24" s="222">
        <f>S24*$C$24</f>
        <v>673997.05892155331</v>
      </c>
      <c r="V24" s="222"/>
      <c r="W24" s="222">
        <f>U24*$C$24</f>
        <v>687477.00009998435</v>
      </c>
      <c r="X24" s="222"/>
      <c r="Y24" s="222">
        <f>W24*$C$24</f>
        <v>701226.54010198405</v>
      </c>
      <c r="Z24" s="222"/>
      <c r="AA24" s="222">
        <f>Y24*$C$24</f>
        <v>715251.07090402371</v>
      </c>
      <c r="AB24" s="222"/>
      <c r="AC24" s="222">
        <f>AA24*$C$24</f>
        <v>729556.09232210414</v>
      </c>
      <c r="AD24" s="222"/>
      <c r="AE24" s="222">
        <f>AC24*$C$24</f>
        <v>744147.21416854626</v>
      </c>
      <c r="AF24" s="222"/>
      <c r="AG24" s="222">
        <f>AE24*$C$24</f>
        <v>759030.15845191723</v>
      </c>
    </row>
    <row r="25" spans="1:33" s="210" customFormat="1" ht="14.25">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25">
      <c r="A26" s="210" t="s">
        <v>1158</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25">
      <c r="A27" s="210" t="s">
        <v>845</v>
      </c>
      <c r="C27" s="237">
        <v>1.0349999999999999</v>
      </c>
      <c r="E27" s="222">
        <f>Application!AC888</f>
        <v>19292</v>
      </c>
      <c r="F27" s="222"/>
      <c r="G27" s="222">
        <f>E27*$C$27</f>
        <v>19967.219999999998</v>
      </c>
      <c r="H27" s="222"/>
      <c r="I27" s="222">
        <f>G27*$C$27</f>
        <v>20666.072699999997</v>
      </c>
      <c r="J27" s="222"/>
      <c r="K27" s="222">
        <f>I27*$C$27</f>
        <v>21389.385244499994</v>
      </c>
      <c r="L27" s="222"/>
      <c r="M27" s="222">
        <f>K27*$C$27</f>
        <v>22138.013728057493</v>
      </c>
      <c r="N27" s="222"/>
      <c r="O27" s="222">
        <f>M27*$C$27</f>
        <v>22912.844208539504</v>
      </c>
      <c r="P27" s="222"/>
      <c r="Q27" s="222">
        <f>O27*$C$27</f>
        <v>23714.793755838386</v>
      </c>
      <c r="R27" s="222"/>
      <c r="S27" s="222">
        <f>Q27*$C$27</f>
        <v>24544.811537292728</v>
      </c>
      <c r="T27" s="222"/>
      <c r="U27" s="222">
        <f>S27*$C$27</f>
        <v>25403.87994109797</v>
      </c>
      <c r="V27" s="222"/>
      <c r="W27" s="222">
        <f>U27*$C$27</f>
        <v>26293.015739036397</v>
      </c>
      <c r="X27" s="222"/>
      <c r="Y27" s="222">
        <f>W27*$C$27</f>
        <v>27213.27128990267</v>
      </c>
      <c r="Z27" s="222"/>
      <c r="AA27" s="222">
        <f>Y27*$C$27</f>
        <v>28165.735785049263</v>
      </c>
      <c r="AB27" s="222"/>
      <c r="AC27" s="222">
        <f>AA27*$C$27</f>
        <v>29151.536537525986</v>
      </c>
      <c r="AD27" s="222"/>
      <c r="AE27" s="222">
        <f>AC27*$C$27</f>
        <v>30171.840316339392</v>
      </c>
      <c r="AF27" s="222"/>
      <c r="AG27" s="222">
        <f>AE27*$C$27</f>
        <v>31227.854727411268</v>
      </c>
    </row>
    <row r="28" spans="1:33" s="210" customFormat="1" ht="14.25">
      <c r="A28" s="210" t="s">
        <v>846</v>
      </c>
      <c r="C28" s="237"/>
      <c r="E28" s="222">
        <f>Application!AC889</f>
        <v>81600</v>
      </c>
      <c r="F28" s="222"/>
      <c r="G28" s="222">
        <f>$E$28</f>
        <v>81600</v>
      </c>
      <c r="H28" s="222"/>
      <c r="I28" s="222">
        <f>$E$28</f>
        <v>81600</v>
      </c>
      <c r="J28" s="222"/>
      <c r="K28" s="222">
        <f>$E$28</f>
        <v>81600</v>
      </c>
      <c r="L28" s="222"/>
      <c r="M28" s="222">
        <f>$E$28</f>
        <v>81600</v>
      </c>
      <c r="N28" s="222"/>
      <c r="O28" s="222">
        <f>$E$28</f>
        <v>81600</v>
      </c>
      <c r="P28" s="222"/>
      <c r="Q28" s="222">
        <f>$E$28</f>
        <v>81600</v>
      </c>
      <c r="R28" s="222"/>
      <c r="S28" s="222">
        <f>$E$28</f>
        <v>81600</v>
      </c>
      <c r="T28" s="222"/>
      <c r="U28" s="222">
        <f>$E$28</f>
        <v>81600</v>
      </c>
      <c r="V28" s="222"/>
      <c r="W28" s="222">
        <f>$E$28</f>
        <v>81600</v>
      </c>
      <c r="X28" s="222"/>
      <c r="Y28" s="222">
        <f>$E$28</f>
        <v>81600</v>
      </c>
      <c r="Z28" s="222"/>
      <c r="AA28" s="222">
        <f>$E$28</f>
        <v>81600</v>
      </c>
      <c r="AB28" s="222"/>
      <c r="AC28" s="222">
        <f>$E$28</f>
        <v>81600</v>
      </c>
      <c r="AD28" s="222"/>
      <c r="AE28" s="222">
        <f>$E$28</f>
        <v>81600</v>
      </c>
      <c r="AF28" s="222"/>
      <c r="AG28" s="222">
        <f>$E$28</f>
        <v>81600</v>
      </c>
    </row>
    <row r="29" spans="1:33" s="210" customFormat="1" ht="14.25">
      <c r="A29" s="210" t="s">
        <v>1679</v>
      </c>
      <c r="C29" s="237"/>
      <c r="E29" s="222">
        <f>Application!AC890</f>
        <v>72789</v>
      </c>
      <c r="F29" s="222"/>
      <c r="G29" s="222">
        <f>$E$29</f>
        <v>72789</v>
      </c>
      <c r="H29" s="222"/>
      <c r="I29" s="222">
        <f>$E$29</f>
        <v>72789</v>
      </c>
      <c r="J29" s="222"/>
      <c r="K29" s="222">
        <f>$E$29</f>
        <v>72789</v>
      </c>
      <c r="L29" s="222"/>
      <c r="M29" s="222">
        <f>$E$29</f>
        <v>72789</v>
      </c>
      <c r="N29" s="222"/>
      <c r="O29" s="222">
        <f>$E$29</f>
        <v>72789</v>
      </c>
      <c r="P29" s="222"/>
      <c r="Q29" s="222">
        <f>$E$29</f>
        <v>72789</v>
      </c>
      <c r="R29" s="222"/>
      <c r="S29" s="222">
        <f>$E$29</f>
        <v>72789</v>
      </c>
      <c r="T29" s="222"/>
      <c r="U29" s="222">
        <f>$E$29</f>
        <v>72789</v>
      </c>
      <c r="V29" s="222"/>
      <c r="W29" s="222">
        <f>$E$29</f>
        <v>72789</v>
      </c>
      <c r="X29" s="222"/>
      <c r="Y29" s="222">
        <f>$E$29</f>
        <v>72789</v>
      </c>
      <c r="Z29" s="222"/>
      <c r="AA29" s="222">
        <f>$E$29</f>
        <v>72789</v>
      </c>
      <c r="AB29" s="222"/>
      <c r="AC29" s="222">
        <f>$E$29</f>
        <v>72789</v>
      </c>
      <c r="AD29" s="222"/>
      <c r="AE29" s="222">
        <f>$E$29</f>
        <v>72789</v>
      </c>
      <c r="AF29" s="222"/>
      <c r="AG29" s="222">
        <f>$E$29</f>
        <v>72789</v>
      </c>
    </row>
    <row r="30" spans="1:33" s="210" customFormat="1" ht="14.25">
      <c r="A30" s="210" t="s">
        <v>844</v>
      </c>
      <c r="C30" s="237">
        <v>1.02</v>
      </c>
      <c r="E30" s="222">
        <f>Application!AC891</f>
        <v>4686</v>
      </c>
      <c r="F30" s="222"/>
      <c r="G30" s="222">
        <f>E30*$C$30</f>
        <v>4779.72</v>
      </c>
      <c r="H30" s="222"/>
      <c r="I30" s="222">
        <f>G30*$C$30</f>
        <v>4875.3144000000002</v>
      </c>
      <c r="J30" s="222"/>
      <c r="K30" s="222">
        <f>I30*$C$30</f>
        <v>4972.8206880000007</v>
      </c>
      <c r="L30" s="222"/>
      <c r="M30" s="222">
        <f>K30*$C$30</f>
        <v>5072.2771017600007</v>
      </c>
      <c r="N30" s="222"/>
      <c r="O30" s="222">
        <f>M30*$C$30</f>
        <v>5173.7226437952004</v>
      </c>
      <c r="P30" s="222"/>
      <c r="Q30" s="222">
        <f>O30*$C$30</f>
        <v>5277.1970966711042</v>
      </c>
      <c r="R30" s="222"/>
      <c r="S30" s="222">
        <f>Q30*$C$30</f>
        <v>5382.7410386045267</v>
      </c>
      <c r="T30" s="222"/>
      <c r="U30" s="222">
        <f>S30*$C$30</f>
        <v>5490.3958593766174</v>
      </c>
      <c r="V30" s="222"/>
      <c r="W30" s="222">
        <f>U30*$C$30</f>
        <v>5600.2037765641498</v>
      </c>
      <c r="X30" s="222"/>
      <c r="Y30" s="222">
        <f>W30*$C$30</f>
        <v>5712.2078520954328</v>
      </c>
      <c r="Z30" s="222"/>
      <c r="AA30" s="222">
        <f>Y30*$C$30</f>
        <v>5826.4520091373415</v>
      </c>
      <c r="AB30" s="222"/>
      <c r="AC30" s="222">
        <f>AA30*$C$30</f>
        <v>5942.9810493200885</v>
      </c>
      <c r="AD30" s="222"/>
      <c r="AE30" s="222">
        <f>AC30*$C$30</f>
        <v>6061.8406703064902</v>
      </c>
      <c r="AF30" s="222"/>
      <c r="AG30" s="222">
        <f>AE30*$C$30</f>
        <v>6183.0774837126201</v>
      </c>
    </row>
    <row r="31" spans="1:33" s="210" customFormat="1" ht="14.25">
      <c r="A31" s="210" t="s">
        <v>1680</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4.25">
      <c r="A32" s="210" t="str">
        <f>Application!C894</f>
        <v>Other (Specify):</v>
      </c>
      <c r="C32" s="316">
        <v>1.0349999999999999</v>
      </c>
      <c r="E32" s="222">
        <f>Application!AC894</f>
        <v>0</v>
      </c>
      <c r="F32" s="222"/>
      <c r="G32" s="222">
        <f>E32*$C$32</f>
        <v>0</v>
      </c>
      <c r="H32" s="222"/>
      <c r="I32" s="222">
        <f>G32*$C$32</f>
        <v>0</v>
      </c>
      <c r="J32" s="222"/>
      <c r="K32" s="222">
        <f>I32*$C$32</f>
        <v>0</v>
      </c>
      <c r="L32" s="222"/>
      <c r="M32" s="222">
        <f>K32*$C$32</f>
        <v>0</v>
      </c>
      <c r="N32" s="222"/>
      <c r="O32" s="222">
        <f>M32*$C$32</f>
        <v>0</v>
      </c>
      <c r="P32" s="222"/>
      <c r="Q32" s="222">
        <f>O32*$C$32</f>
        <v>0</v>
      </c>
      <c r="R32" s="222"/>
      <c r="S32" s="222">
        <f>Q32*$C$32</f>
        <v>0</v>
      </c>
      <c r="T32" s="222"/>
      <c r="U32" s="222">
        <f>S32*$C$32</f>
        <v>0</v>
      </c>
      <c r="V32" s="222"/>
      <c r="W32" s="222">
        <f>U32*$C$32</f>
        <v>0</v>
      </c>
      <c r="X32" s="222"/>
      <c r="Y32" s="222">
        <f>W32*$C$32</f>
        <v>0</v>
      </c>
      <c r="Z32" s="222"/>
      <c r="AA32" s="222">
        <f>Y32*$C$32</f>
        <v>0</v>
      </c>
      <c r="AB32" s="222"/>
      <c r="AC32" s="222">
        <f>AA32*$C$32</f>
        <v>0</v>
      </c>
      <c r="AD32" s="222"/>
      <c r="AE32" s="222">
        <f>AC32*$C$32</f>
        <v>0</v>
      </c>
      <c r="AF32" s="222"/>
      <c r="AG32" s="222">
        <f>AE32*$C$32</f>
        <v>0</v>
      </c>
    </row>
    <row r="33" spans="1:33" s="210" customFormat="1" ht="14.25">
      <c r="A33" s="210" t="str">
        <f>Application!C895</f>
        <v>Other (Specify):</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4.25">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5">
      <c r="A35" s="223" t="s">
        <v>177</v>
      </c>
      <c r="C35" s="224"/>
      <c r="E35" s="223">
        <f>SUM(E22:E33)</f>
        <v>2307323</v>
      </c>
      <c r="G35" s="223">
        <f>SUM(G22:G33)</f>
        <v>2373976.6500000004</v>
      </c>
      <c r="I35" s="223">
        <f>SUM(I22:I33)</f>
        <v>2442789.1969499993</v>
      </c>
      <c r="K35" s="223">
        <f>SUM(K22:K33)</f>
        <v>2513832.7226272495</v>
      </c>
      <c r="M35" s="223">
        <f>SUM(M22:M33)</f>
        <v>2587181.7620788831</v>
      </c>
      <c r="O35" s="223">
        <f>SUM(O22:O33)</f>
        <v>2662913.3880945174</v>
      </c>
      <c r="Q35" s="223">
        <f>SUM(Q22:Q33)</f>
        <v>2741107.2986075557</v>
      </c>
      <c r="S35" s="223">
        <f>SUM(S22:S33)</f>
        <v>2821845.9071271466</v>
      </c>
      <c r="U35" s="223">
        <f>SUM(U22:U33)</f>
        <v>2905214.4363062885</v>
      </c>
      <c r="W35" s="223">
        <f>SUM(W22:W33)</f>
        <v>2991301.0147552947</v>
      </c>
      <c r="Y35" s="223">
        <f>SUM(Y22:Y33)</f>
        <v>3080196.7772135818</v>
      </c>
      <c r="AA35" s="223">
        <f>SUM(AA22:AA33)</f>
        <v>3171995.9681967455</v>
      </c>
      <c r="AC35" s="223">
        <f>SUM(AC22:AC33)</f>
        <v>3266796.0492399344</v>
      </c>
      <c r="AE35" s="223">
        <f>SUM(AE22:AE33)</f>
        <v>3364697.8098627604</v>
      </c>
      <c r="AG35" s="223">
        <f>SUM(AG22:AG33)</f>
        <v>3465805.4823853737</v>
      </c>
    </row>
    <row r="36" spans="1:33" s="210" customFormat="1" ht="14.25">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5">
      <c r="A37" s="223" t="s">
        <v>847</v>
      </c>
      <c r="C37" s="224"/>
      <c r="E37" s="223">
        <f>E11-E35</f>
        <v>3503549.5999999996</v>
      </c>
      <c r="G37" s="223">
        <f>G11-G35</f>
        <v>3582167.7649999987</v>
      </c>
      <c r="I37" s="223">
        <f>I11-I35</f>
        <v>3662258.828424999</v>
      </c>
      <c r="K37" s="223">
        <f>K11-K35</f>
        <v>3743841.5033821231</v>
      </c>
      <c r="M37" s="223">
        <f>M11-M35</f>
        <v>3826934.3195807245</v>
      </c>
      <c r="O37" s="223">
        <f>O11-O35</f>
        <v>3911555.5956065785</v>
      </c>
      <c r="Q37" s="223">
        <f>Q11-Q35</f>
        <v>3997723.4096860676</v>
      </c>
      <c r="S37" s="223">
        <f>S11-S35</f>
        <v>4085455.5688738171</v>
      </c>
      <c r="U37" s="223">
        <f>U11-U35</f>
        <v>4174769.5765946982</v>
      </c>
      <c r="W37" s="223">
        <f>W11-W35</f>
        <v>4265682.5984682161</v>
      </c>
      <c r="Y37" s="223">
        <f>Y11-Y35</f>
        <v>4358211.4263405157</v>
      </c>
      <c r="AA37" s="223">
        <f>AA11-AA35</f>
        <v>4452372.4404462036</v>
      </c>
      <c r="AC37" s="223">
        <f>AC11-AC35</f>
        <v>4548181.5696190875</v>
      </c>
      <c r="AE37" s="223">
        <f>AE11-AE35</f>
        <v>4645654.2494677361</v>
      </c>
      <c r="AG37" s="223">
        <f>AG11-AG35</f>
        <v>4744805.3784283856</v>
      </c>
    </row>
    <row r="38" spans="1:33" s="210" customFormat="1" ht="14.25">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5">
      <c r="A39" s="218" t="s">
        <v>860</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25">
      <c r="A40" s="225" t="str">
        <f>Application!C627</f>
        <v>Citibank Tax-Exempt Permanent Loan</v>
      </c>
      <c r="B40" s="226"/>
      <c r="C40" s="220"/>
      <c r="E40" s="222">
        <f>Application!AF627</f>
        <v>3046532</v>
      </c>
      <c r="F40" s="222"/>
      <c r="G40" s="222">
        <f>$E$40</f>
        <v>3046532</v>
      </c>
      <c r="H40" s="222"/>
      <c r="I40" s="222">
        <f>$E$40</f>
        <v>3046532</v>
      </c>
      <c r="J40" s="222"/>
      <c r="K40" s="222">
        <f>$E$40</f>
        <v>3046532</v>
      </c>
      <c r="L40" s="222"/>
      <c r="M40" s="222">
        <f>$E$40</f>
        <v>3046532</v>
      </c>
      <c r="N40" s="222"/>
      <c r="O40" s="222">
        <f>$E$40</f>
        <v>3046532</v>
      </c>
      <c r="P40" s="222"/>
      <c r="Q40" s="222">
        <f>$E$40</f>
        <v>3046532</v>
      </c>
      <c r="R40" s="222"/>
      <c r="S40" s="222">
        <f>$E$40</f>
        <v>3046532</v>
      </c>
      <c r="T40" s="222"/>
      <c r="U40" s="222">
        <f>$E$40</f>
        <v>3046532</v>
      </c>
      <c r="V40" s="222"/>
      <c r="W40" s="222">
        <f>$E$40</f>
        <v>3046532</v>
      </c>
      <c r="X40" s="222"/>
      <c r="Y40" s="222">
        <f>$E$40</f>
        <v>3046532</v>
      </c>
      <c r="Z40" s="222"/>
      <c r="AA40" s="222">
        <f>$E$40</f>
        <v>3046532</v>
      </c>
      <c r="AB40" s="222"/>
      <c r="AC40" s="222">
        <f>$E$40</f>
        <v>3046532</v>
      </c>
      <c r="AD40" s="222"/>
      <c r="AE40" s="222">
        <f>$E$40</f>
        <v>3046532</v>
      </c>
      <c r="AF40" s="222"/>
      <c r="AG40" s="222">
        <f>$E$40</f>
        <v>3046532</v>
      </c>
    </row>
    <row r="41" spans="1:33" s="210" customFormat="1" ht="14.25">
      <c r="A41" s="225"/>
      <c r="B41" s="226"/>
      <c r="C41" s="220"/>
      <c r="E41" s="222"/>
      <c r="F41" s="222"/>
      <c r="G41" s="222">
        <f>$E$41</f>
        <v>0</v>
      </c>
      <c r="H41" s="222"/>
      <c r="I41" s="222">
        <f>$E$41</f>
        <v>0</v>
      </c>
      <c r="J41" s="222"/>
      <c r="K41" s="222">
        <f>$E$41</f>
        <v>0</v>
      </c>
      <c r="L41" s="222"/>
      <c r="M41" s="222">
        <f>$E$41</f>
        <v>0</v>
      </c>
      <c r="N41" s="222"/>
      <c r="O41" s="222">
        <f>$E$41</f>
        <v>0</v>
      </c>
      <c r="P41" s="222"/>
      <c r="Q41" s="222">
        <f>$E$41</f>
        <v>0</v>
      </c>
      <c r="R41" s="222"/>
      <c r="S41" s="222">
        <f>$E$41</f>
        <v>0</v>
      </c>
      <c r="T41" s="222"/>
      <c r="U41" s="222">
        <f>$E$41</f>
        <v>0</v>
      </c>
      <c r="V41" s="222"/>
      <c r="W41" s="222">
        <f>$E$41</f>
        <v>0</v>
      </c>
      <c r="X41" s="222"/>
      <c r="Y41" s="222">
        <f>$E$41</f>
        <v>0</v>
      </c>
      <c r="Z41" s="222"/>
      <c r="AA41" s="222">
        <f>$E$41</f>
        <v>0</v>
      </c>
      <c r="AB41" s="222"/>
      <c r="AC41" s="222">
        <f>$E$41</f>
        <v>0</v>
      </c>
      <c r="AD41" s="222"/>
      <c r="AE41" s="222">
        <f>$E$41</f>
        <v>0</v>
      </c>
      <c r="AF41" s="222"/>
      <c r="AG41" s="222">
        <f>$E$41</f>
        <v>0</v>
      </c>
    </row>
    <row r="42" spans="1:33" s="210" customFormat="1" ht="14.25">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5">
      <c r="A43" s="223" t="s">
        <v>848</v>
      </c>
      <c r="C43" s="224"/>
      <c r="E43" s="223">
        <f>SUM(E40:E42)</f>
        <v>3046532</v>
      </c>
      <c r="G43" s="223">
        <f>SUM(G40:G42)</f>
        <v>3046532</v>
      </c>
      <c r="I43" s="223">
        <f>SUM(I40:I42)</f>
        <v>3046532</v>
      </c>
      <c r="K43" s="223">
        <f>SUM(K40:K42)</f>
        <v>3046532</v>
      </c>
      <c r="M43" s="223">
        <f>SUM(M40:M42)</f>
        <v>3046532</v>
      </c>
      <c r="O43" s="223">
        <f>SUM(O40:O42)</f>
        <v>3046532</v>
      </c>
      <c r="Q43" s="223">
        <f>SUM(Q40:Q42)</f>
        <v>3046532</v>
      </c>
      <c r="S43" s="223">
        <f>SUM(S40:S42)</f>
        <v>3046532</v>
      </c>
      <c r="U43" s="223">
        <f>SUM(U40:U42)</f>
        <v>3046532</v>
      </c>
      <c r="W43" s="223">
        <f>SUM(W40:W42)</f>
        <v>3046532</v>
      </c>
      <c r="Y43" s="223">
        <f>SUM(Y40:Y42)</f>
        <v>3046532</v>
      </c>
      <c r="AA43" s="223">
        <f>SUM(AA40:AA42)</f>
        <v>3046532</v>
      </c>
      <c r="AC43" s="223">
        <f>SUM(AC40:AC42)</f>
        <v>3046532</v>
      </c>
      <c r="AE43" s="223">
        <f>SUM(AE40:AE42)</f>
        <v>3046532</v>
      </c>
      <c r="AG43" s="223">
        <f>SUM(AG40:AG42)</f>
        <v>3046532</v>
      </c>
    </row>
    <row r="44" spans="1:33" s="210" customFormat="1" ht="14.25">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5">
      <c r="A45" s="223" t="s">
        <v>849</v>
      </c>
      <c r="C45" s="224"/>
      <c r="E45" s="223">
        <f>E37-E43</f>
        <v>457017.59999999963</v>
      </c>
      <c r="G45" s="223">
        <f>G37-G43</f>
        <v>535635.76499999873</v>
      </c>
      <c r="I45" s="223">
        <f>I37-I43</f>
        <v>615726.82842499902</v>
      </c>
      <c r="K45" s="223">
        <f>K37-K43</f>
        <v>697309.50338212308</v>
      </c>
      <c r="M45" s="223">
        <f>M37-M43</f>
        <v>780402.31958072446</v>
      </c>
      <c r="O45" s="223">
        <f>O37-O43</f>
        <v>865023.59560657851</v>
      </c>
      <c r="Q45" s="223">
        <f>Q37-Q43</f>
        <v>951191.40968606761</v>
      </c>
      <c r="S45" s="223">
        <f>S37-S43</f>
        <v>1038923.5688738171</v>
      </c>
      <c r="U45" s="223">
        <f>U37-U43</f>
        <v>1128237.5765946982</v>
      </c>
      <c r="W45" s="223">
        <f>W37-W43</f>
        <v>1219150.5984682161</v>
      </c>
      <c r="Y45" s="223">
        <f>Y37-Y43</f>
        <v>1311679.4263405157</v>
      </c>
      <c r="AA45" s="223">
        <f>AA37-AA43</f>
        <v>1405840.4404462036</v>
      </c>
      <c r="AC45" s="223">
        <f>AC37-AC43</f>
        <v>1501649.5696190875</v>
      </c>
      <c r="AE45" s="223">
        <f>AE37-AE43</f>
        <v>1599122.2494677361</v>
      </c>
      <c r="AG45" s="223">
        <f>AG37-AG43</f>
        <v>1698273.3784283856</v>
      </c>
    </row>
    <row r="46" spans="1:33" s="210" customFormat="1" ht="14.25">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25">
      <c r="A47" s="227" t="s">
        <v>851</v>
      </c>
      <c r="C47" s="220"/>
      <c r="E47" s="227">
        <f>E45/(E4+E6+E8)</f>
        <v>7.4716268947283351E-2</v>
      </c>
      <c r="G47" s="227">
        <f>G45/(G4+G6+G8)</f>
        <v>8.5433451792823745E-2</v>
      </c>
      <c r="I47" s="227">
        <f>I45/(I4+I6+I8)</f>
        <v>9.5812593868632098E-2</v>
      </c>
      <c r="K47" s="227">
        <f>K45/(K4+K6+K8)</f>
        <v>0.10586106024178076</v>
      </c>
      <c r="M47" s="227">
        <f>M45/(M4+M6+M8)</f>
        <v>0.11558602840406669</v>
      </c>
      <c r="O47" s="227">
        <f>O45/(O4+O6+O8)</f>
        <v>0.12499449276641549</v>
      </c>
      <c r="Q47" s="227">
        <f>Q45/(Q4+Q6+Q8)</f>
        <v>0.13409326904289867</v>
      </c>
      <c r="S47" s="227">
        <f>S45/(S4+S6+S8)</f>
        <v>0.14288899852704048</v>
      </c>
      <c r="U47" s="227">
        <f>U45/(U4+U6+U8)</f>
        <v>0.15138815226304281</v>
      </c>
      <c r="W47" s="227">
        <f>W45/(W4+W6+W8)</f>
        <v>0.15959703511447543</v>
      </c>
      <c r="Y47" s="227">
        <f>Y45/(Y4+Y6+Y8)</f>
        <v>0.16752178973292983</v>
      </c>
      <c r="AA47" s="227">
        <f>AA45/(AA4+AA6+AA8)</f>
        <v>0.17516840042906659</v>
      </c>
      <c r="AC47" s="227">
        <f>AC45/(AC4+AC6+AC8)</f>
        <v>0.1825426969484284</v>
      </c>
      <c r="AE47" s="227">
        <f>AE45/(AE4+AE6+AE8)</f>
        <v>0.1896503581543357</v>
      </c>
      <c r="AG47" s="227">
        <f>AG45/(AG4+AG6+AG8)</f>
        <v>0.19649691562012053</v>
      </c>
    </row>
    <row r="48" spans="1:33" s="227" customFormat="1" ht="14.25">
      <c r="A48" s="227" t="s">
        <v>852</v>
      </c>
      <c r="C48" s="220"/>
      <c r="E48" s="227">
        <f>E45/E43</f>
        <v>0.15001240755061809</v>
      </c>
      <c r="G48" s="227">
        <f>G45/G43</f>
        <v>0.17581819754396105</v>
      </c>
      <c r="I48" s="227">
        <f>I45/I43</f>
        <v>0.20210745477972955</v>
      </c>
      <c r="K48" s="227">
        <f>K45/K43</f>
        <v>0.22888632168712592</v>
      </c>
      <c r="M48" s="227">
        <f>M45/M43</f>
        <v>0.25616088049648733</v>
      </c>
      <c r="O48" s="227">
        <f>O45/O43</f>
        <v>0.28393714413850846</v>
      </c>
      <c r="Q48" s="227">
        <f>Q45/Q43</f>
        <v>0.31222104664781714</v>
      </c>
      <c r="S48" s="227">
        <f>S45/S43</f>
        <v>0.34101843304905943</v>
      </c>
      <c r="U48" s="227">
        <f>U45/U43</f>
        <v>0.37033504870281952</v>
      </c>
      <c r="W48" s="227">
        <f>W45/W43</f>
        <v>0.40017652808774573</v>
      </c>
      <c r="Y48" s="227">
        <f>Y45/Y43</f>
        <v>0.43054838299434101</v>
      </c>
      <c r="AA48" s="227">
        <f>AA45/AA43</f>
        <v>0.46145599010488109</v>
      </c>
      <c r="AC48" s="227">
        <f>AC45/AC43</f>
        <v>0.49290457793290454</v>
      </c>
      <c r="AE48" s="227">
        <f>AE45/AE43</f>
        <v>0.52489921309467158</v>
      </c>
      <c r="AG48" s="227">
        <f>AG45/AG43</f>
        <v>0.55744478588387902</v>
      </c>
    </row>
    <row r="49" spans="1:34" s="228" customFormat="1" ht="14.25">
      <c r="A49" s="228" t="s">
        <v>850</v>
      </c>
      <c r="C49" s="229"/>
      <c r="E49" s="1260">
        <f>E37/E43</f>
        <v>1.1500124075506182</v>
      </c>
      <c r="G49" s="228">
        <f>G37/G43</f>
        <v>1.175818197543961</v>
      </c>
      <c r="I49" s="228">
        <f>I37/I43</f>
        <v>1.2021074547797295</v>
      </c>
      <c r="K49" s="228">
        <f>K37/K43</f>
        <v>1.228886321687126</v>
      </c>
      <c r="M49" s="228">
        <f>M37/M43</f>
        <v>1.2561608804964872</v>
      </c>
      <c r="O49" s="228">
        <f>O37/O43</f>
        <v>1.2839371441385086</v>
      </c>
      <c r="Q49" s="228">
        <f>Q37/Q43</f>
        <v>1.312221046647817</v>
      </c>
      <c r="S49" s="228">
        <f>S37/S43</f>
        <v>1.3410184330490593</v>
      </c>
      <c r="U49" s="228">
        <f>U37/U43</f>
        <v>1.3703350487028196</v>
      </c>
      <c r="W49" s="228">
        <f>W37/W43</f>
        <v>1.4001765280877456</v>
      </c>
      <c r="Y49" s="228">
        <f>Y37/Y43</f>
        <v>1.4305483829943411</v>
      </c>
      <c r="AA49" s="228">
        <f>AA37/AA43</f>
        <v>1.4614559901048811</v>
      </c>
      <c r="AC49" s="228">
        <f>AC37/AC43</f>
        <v>1.4929045779329044</v>
      </c>
      <c r="AE49" s="228">
        <f>AE37/AE43</f>
        <v>1.5248992130946717</v>
      </c>
      <c r="AG49" s="228">
        <f>AG37/AG43</f>
        <v>1.5574447858838789</v>
      </c>
    </row>
    <row r="50" spans="1:34" s="210" customFormat="1" ht="14.25">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862</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89" t="s">
        <v>2739</v>
      </c>
      <c r="B52" s="2689"/>
      <c r="C52" s="2689"/>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854</v>
      </c>
      <c r="C53" s="963">
        <v>1.03</v>
      </c>
      <c r="E53" s="964"/>
      <c r="G53" s="960">
        <f>E53*$C$53</f>
        <v>0</v>
      </c>
      <c r="I53" s="960">
        <f>G53*$C$53</f>
        <v>0</v>
      </c>
      <c r="K53" s="960">
        <f>I53*$C$53</f>
        <v>0</v>
      </c>
      <c r="M53" s="960">
        <f>K53*$C$53</f>
        <v>0</v>
      </c>
      <c r="O53" s="960">
        <f>M53*$C$53</f>
        <v>0</v>
      </c>
      <c r="Q53" s="960">
        <f>O53*$C$53</f>
        <v>0</v>
      </c>
      <c r="S53" s="960">
        <f>Q53*$C$53</f>
        <v>0</v>
      </c>
      <c r="U53" s="960">
        <f>S53*$C$53</f>
        <v>0</v>
      </c>
      <c r="W53" s="960">
        <f>U53*$C$53</f>
        <v>0</v>
      </c>
      <c r="Y53" s="960">
        <f>W53*$C$53</f>
        <v>0</v>
      </c>
      <c r="AA53" s="960">
        <f>Y53*$C$53</f>
        <v>0</v>
      </c>
      <c r="AC53" s="960">
        <f>AA53*$C$53</f>
        <v>0</v>
      </c>
      <c r="AE53" s="960">
        <f>AC53*$C$53</f>
        <v>0</v>
      </c>
      <c r="AG53" s="960">
        <f>AE53*$C$53</f>
        <v>0</v>
      </c>
    </row>
    <row r="54" spans="1:34" s="3" customFormat="1">
      <c r="A54" s="3" t="s">
        <v>855</v>
      </c>
      <c r="C54" s="958"/>
      <c r="E54" s="965">
        <v>15000</v>
      </c>
      <c r="F54" s="960"/>
      <c r="G54" s="960">
        <f t="shared" ref="G54:AG57" si="1">E54*$C$53</f>
        <v>15450</v>
      </c>
      <c r="H54" s="960"/>
      <c r="I54" s="960">
        <f t="shared" si="1"/>
        <v>15913.5</v>
      </c>
      <c r="J54" s="960"/>
      <c r="K54" s="960">
        <f t="shared" si="1"/>
        <v>16390.904999999999</v>
      </c>
      <c r="L54" s="960"/>
      <c r="M54" s="960">
        <f t="shared" si="1"/>
        <v>16882.632149999998</v>
      </c>
      <c r="N54" s="960"/>
      <c r="O54" s="960">
        <f t="shared" si="1"/>
        <v>17389.1111145</v>
      </c>
      <c r="P54" s="960"/>
      <c r="Q54" s="960">
        <f t="shared" si="1"/>
        <v>17910.784447934999</v>
      </c>
      <c r="R54" s="960"/>
      <c r="S54" s="960">
        <f t="shared" si="1"/>
        <v>18448.10798137305</v>
      </c>
      <c r="T54" s="960"/>
      <c r="U54" s="960">
        <f t="shared" si="1"/>
        <v>19001.551220814243</v>
      </c>
      <c r="V54" s="960"/>
      <c r="W54" s="960">
        <f t="shared" si="1"/>
        <v>19571.597757438671</v>
      </c>
      <c r="X54" s="960"/>
      <c r="Y54" s="960">
        <f t="shared" si="1"/>
        <v>20158.745690161832</v>
      </c>
      <c r="Z54" s="960"/>
      <c r="AA54" s="960">
        <f t="shared" si="1"/>
        <v>20763.508060866687</v>
      </c>
      <c r="AB54" s="960"/>
      <c r="AC54" s="960">
        <f t="shared" si="1"/>
        <v>21386.413302692687</v>
      </c>
      <c r="AD54" s="960"/>
      <c r="AE54" s="960">
        <f t="shared" si="1"/>
        <v>22028.005701773469</v>
      </c>
      <c r="AF54" s="960"/>
      <c r="AG54" s="960">
        <f t="shared" si="1"/>
        <v>22688.845872826674</v>
      </c>
      <c r="AH54" s="960"/>
    </row>
    <row r="55" spans="1:34" s="3" customFormat="1">
      <c r="A55" s="3" t="s">
        <v>856</v>
      </c>
      <c r="C55" s="958"/>
      <c r="E55" s="965"/>
      <c r="F55" s="960"/>
      <c r="G55" s="960">
        <f t="shared" si="1"/>
        <v>0</v>
      </c>
      <c r="H55" s="960"/>
      <c r="I55" s="960">
        <f t="shared" si="1"/>
        <v>0</v>
      </c>
      <c r="J55" s="960"/>
      <c r="K55" s="960">
        <f t="shared" si="1"/>
        <v>0</v>
      </c>
      <c r="L55" s="960"/>
      <c r="M55" s="960">
        <f t="shared" si="1"/>
        <v>0</v>
      </c>
      <c r="N55" s="960"/>
      <c r="O55" s="960">
        <f t="shared" si="1"/>
        <v>0</v>
      </c>
      <c r="P55" s="960"/>
      <c r="Q55" s="960">
        <f t="shared" si="1"/>
        <v>0</v>
      </c>
      <c r="R55" s="960"/>
      <c r="S55" s="960">
        <f t="shared" si="1"/>
        <v>0</v>
      </c>
      <c r="T55" s="960"/>
      <c r="U55" s="960">
        <f t="shared" si="1"/>
        <v>0</v>
      </c>
      <c r="V55" s="960"/>
      <c r="W55" s="960">
        <f t="shared" si="1"/>
        <v>0</v>
      </c>
      <c r="X55" s="960"/>
      <c r="Y55" s="960">
        <f t="shared" si="1"/>
        <v>0</v>
      </c>
      <c r="Z55" s="960"/>
      <c r="AA55" s="960">
        <f t="shared" si="1"/>
        <v>0</v>
      </c>
      <c r="AB55" s="960"/>
      <c r="AC55" s="960">
        <f t="shared" si="1"/>
        <v>0</v>
      </c>
      <c r="AD55" s="960"/>
      <c r="AE55" s="960">
        <f t="shared" si="1"/>
        <v>0</v>
      </c>
      <c r="AF55" s="960"/>
      <c r="AG55" s="960">
        <f t="shared" si="1"/>
        <v>0</v>
      </c>
      <c r="AH55" s="960"/>
    </row>
    <row r="56" spans="1:34" s="3" customFormat="1">
      <c r="A56" s="966" t="s">
        <v>2740</v>
      </c>
      <c r="B56" s="966"/>
      <c r="C56" s="958"/>
      <c r="E56" s="965">
        <v>15000</v>
      </c>
      <c r="F56" s="960"/>
      <c r="G56" s="960">
        <f t="shared" si="1"/>
        <v>15450</v>
      </c>
      <c r="H56" s="960"/>
      <c r="I56" s="960">
        <f t="shared" si="1"/>
        <v>15913.5</v>
      </c>
      <c r="J56" s="960"/>
      <c r="K56" s="960">
        <f t="shared" si="1"/>
        <v>16390.904999999999</v>
      </c>
      <c r="L56" s="960"/>
      <c r="M56" s="960">
        <f t="shared" si="1"/>
        <v>16882.632149999998</v>
      </c>
      <c r="N56" s="960"/>
      <c r="O56" s="960">
        <f t="shared" si="1"/>
        <v>17389.1111145</v>
      </c>
      <c r="P56" s="960"/>
      <c r="Q56" s="960">
        <f t="shared" si="1"/>
        <v>17910.784447934999</v>
      </c>
      <c r="R56" s="960"/>
      <c r="S56" s="960">
        <f t="shared" si="1"/>
        <v>18448.10798137305</v>
      </c>
      <c r="T56" s="960"/>
      <c r="U56" s="960">
        <f t="shared" si="1"/>
        <v>19001.551220814243</v>
      </c>
      <c r="V56" s="960"/>
      <c r="W56" s="960">
        <f t="shared" si="1"/>
        <v>19571.597757438671</v>
      </c>
      <c r="X56" s="960"/>
      <c r="Y56" s="960">
        <f t="shared" si="1"/>
        <v>20158.745690161832</v>
      </c>
      <c r="Z56" s="960"/>
      <c r="AA56" s="960">
        <f t="shared" si="1"/>
        <v>20763.508060866687</v>
      </c>
      <c r="AB56" s="960"/>
      <c r="AC56" s="960">
        <f t="shared" si="1"/>
        <v>21386.413302692687</v>
      </c>
      <c r="AD56" s="960"/>
      <c r="AE56" s="960">
        <f t="shared" si="1"/>
        <v>22028.005701773469</v>
      </c>
      <c r="AF56" s="960"/>
      <c r="AG56" s="960">
        <f t="shared" si="1"/>
        <v>22688.845872826674</v>
      </c>
      <c r="AH56" s="960"/>
    </row>
    <row r="57" spans="1:34"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34" s="3" customFormat="1">
      <c r="A58" s="962" t="s">
        <v>853</v>
      </c>
      <c r="C58" s="961"/>
      <c r="E58" s="960">
        <f>SUM(E53:E57)</f>
        <v>30000</v>
      </c>
      <c r="F58" s="960"/>
      <c r="G58" s="960">
        <f>SUM(G53:G57)</f>
        <v>30900</v>
      </c>
      <c r="H58" s="960"/>
      <c r="I58" s="960">
        <f>SUM(I53:I57)</f>
        <v>31827</v>
      </c>
      <c r="J58" s="960"/>
      <c r="K58" s="960">
        <f>SUM(K53:K57)</f>
        <v>32781.81</v>
      </c>
      <c r="L58" s="960"/>
      <c r="M58" s="960">
        <f>SUM(M53:M57)</f>
        <v>33765.264299999995</v>
      </c>
      <c r="N58" s="960"/>
      <c r="O58" s="960">
        <f>SUM(O53:O57)</f>
        <v>34778.222228999999</v>
      </c>
      <c r="P58" s="960"/>
      <c r="Q58" s="960">
        <f>SUM(Q53:Q57)</f>
        <v>35821.568895869998</v>
      </c>
      <c r="R58" s="960"/>
      <c r="S58" s="960">
        <f>SUM(S53:S57)</f>
        <v>36896.215962746101</v>
      </c>
      <c r="T58" s="960"/>
      <c r="U58" s="960">
        <f>SUM(U53:U57)</f>
        <v>38003.102441628485</v>
      </c>
      <c r="V58" s="960"/>
      <c r="W58" s="960">
        <f>SUM(W53:W57)</f>
        <v>39143.195514877341</v>
      </c>
      <c r="X58" s="960"/>
      <c r="Y58" s="960">
        <f>SUM(Y53:Y57)</f>
        <v>40317.491380323663</v>
      </c>
      <c r="Z58" s="960"/>
      <c r="AA58" s="960">
        <f>SUM(AA53:AA57)</f>
        <v>41527.016121733373</v>
      </c>
      <c r="AB58" s="960"/>
      <c r="AC58" s="960">
        <f>SUM(AC53:AC57)</f>
        <v>42772.826605385373</v>
      </c>
      <c r="AD58" s="960"/>
      <c r="AE58" s="960">
        <f>SUM(AE53:AE57)</f>
        <v>44056.011403546938</v>
      </c>
      <c r="AF58" s="960"/>
      <c r="AG58" s="960">
        <f>SUM(AG53:AG57)</f>
        <v>45377.691745653348</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858</v>
      </c>
      <c r="C60" s="969"/>
      <c r="E60" s="962">
        <f>E45-E58</f>
        <v>427017.59999999963</v>
      </c>
      <c r="G60" s="962">
        <f>G45-G58</f>
        <v>504735.76499999873</v>
      </c>
      <c r="I60" s="962">
        <f>I45-I58</f>
        <v>583899.82842499902</v>
      </c>
      <c r="K60" s="962">
        <f>K45-K58</f>
        <v>664527.69338212302</v>
      </c>
      <c r="M60" s="962">
        <f>M45-M58</f>
        <v>746637.05528072442</v>
      </c>
      <c r="O60" s="962">
        <f>O45-O58</f>
        <v>830245.37337757857</v>
      </c>
      <c r="Q60" s="962">
        <f>Q45-Q58</f>
        <v>915369.8407901976</v>
      </c>
      <c r="S60" s="962">
        <f>S45-S58</f>
        <v>1002027.352911071</v>
      </c>
      <c r="U60" s="962">
        <f>U45-U58</f>
        <v>1090234.4741530698</v>
      </c>
      <c r="W60" s="962">
        <f>W45-W58</f>
        <v>1180007.4029533388</v>
      </c>
      <c r="Y60" s="962">
        <f>Y45-Y58</f>
        <v>1271361.9349601921</v>
      </c>
      <c r="AA60" s="962">
        <f>AA45-AA58</f>
        <v>1364313.4243244701</v>
      </c>
      <c r="AC60" s="962">
        <f>AC45-AC58</f>
        <v>1458876.7430137021</v>
      </c>
      <c r="AE60" s="962">
        <f>AE45-AE58</f>
        <v>1555066.2380641892</v>
      </c>
      <c r="AG60" s="962">
        <f>AG45-AG58</f>
        <v>1652895.6866827323</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857</v>
      </c>
      <c r="C62" s="959">
        <v>1</v>
      </c>
      <c r="E62" s="964">
        <f>E60*$C$62</f>
        <v>427017.59999999963</v>
      </c>
      <c r="G62" s="962">
        <f>G60*$C$62</f>
        <v>504735.76499999873</v>
      </c>
      <c r="I62" s="962">
        <f>I60*$C$62</f>
        <v>583899.82842499902</v>
      </c>
      <c r="K62" s="962">
        <f>K60*$C$62</f>
        <v>664527.69338212302</v>
      </c>
      <c r="M62" s="962">
        <f>M60*$C$62</f>
        <v>746637.05528072442</v>
      </c>
      <c r="O62" s="962">
        <f>O60*$C$62</f>
        <v>830245.37337757857</v>
      </c>
      <c r="Q62" s="962">
        <f>Q60*$C$62</f>
        <v>915369.8407901976</v>
      </c>
      <c r="S62" s="962">
        <f>S60*$C$62</f>
        <v>1002027.352911071</v>
      </c>
      <c r="U62" s="962">
        <f>Application!AO629-SUM('15 Year Pro Forma'!E62:S62)</f>
        <v>1005193.4908333085</v>
      </c>
      <c r="W62" s="962">
        <f>IF(SUM(E62:U62)&lt;Application!AO629,'15 Year Pro Forma'!W60,0)</f>
        <v>0</v>
      </c>
      <c r="Y62" s="962">
        <v>0</v>
      </c>
      <c r="AA62" s="962">
        <v>0</v>
      </c>
      <c r="AC62" s="962">
        <v>0</v>
      </c>
      <c r="AE62" s="962">
        <v>0</v>
      </c>
      <c r="AG62" s="962">
        <v>0</v>
      </c>
    </row>
    <row r="63" spans="1:34" s="962" customFormat="1">
      <c r="A63" s="2689" t="s">
        <v>2741</v>
      </c>
      <c r="B63" s="2689"/>
      <c r="C63" s="2689"/>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861</v>
      </c>
      <c r="C65" s="959">
        <v>0</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c r="B66" s="964"/>
      <c r="C66" s="963"/>
      <c r="E66" s="964">
        <f>$E60*$C$65</f>
        <v>0</v>
      </c>
      <c r="G66" s="960">
        <f>G60*$C$65</f>
        <v>0</v>
      </c>
      <c r="I66" s="960">
        <f>I60*$C$65</f>
        <v>0</v>
      </c>
      <c r="K66" s="960">
        <f>K60*$C$65</f>
        <v>0</v>
      </c>
      <c r="M66" s="960">
        <f>M60*$C$65</f>
        <v>0</v>
      </c>
      <c r="O66" s="960">
        <f>O60*$C$65</f>
        <v>0</v>
      </c>
      <c r="Q66" s="960">
        <f>Q60*$C$65</f>
        <v>0</v>
      </c>
      <c r="S66" s="960">
        <f>S60*$C$65</f>
        <v>0</v>
      </c>
      <c r="U66" s="960">
        <f>U60*$C$65</f>
        <v>0</v>
      </c>
      <c r="W66" s="960">
        <f>W60*$C$65</f>
        <v>0</v>
      </c>
      <c r="Y66" s="960">
        <f>Y60*$C$65</f>
        <v>0</v>
      </c>
      <c r="AA66" s="960">
        <f>AA60*$C$65</f>
        <v>0</v>
      </c>
      <c r="AC66" s="960">
        <f>AC60*$C$65</f>
        <v>0</v>
      </c>
      <c r="AE66" s="960">
        <f>AE60*$C$65</f>
        <v>0</v>
      </c>
      <c r="AG66" s="960">
        <f>AG60*$C$65</f>
        <v>0</v>
      </c>
    </row>
    <row r="67" spans="1:34" s="960" customFormat="1">
      <c r="A67" s="965"/>
      <c r="B67" s="965"/>
      <c r="C67" s="970"/>
      <c r="E67" s="964">
        <f>$E60*$C$65</f>
        <v>0</v>
      </c>
      <c r="G67" s="960">
        <f>G60*$C$65</f>
        <v>0</v>
      </c>
      <c r="I67" s="960">
        <f>I60*$C$65</f>
        <v>0</v>
      </c>
      <c r="K67" s="960">
        <f>K60*$C$65</f>
        <v>0</v>
      </c>
      <c r="M67" s="960">
        <f>M60*$C$65</f>
        <v>0</v>
      </c>
      <c r="O67" s="960">
        <f>O60*$C$65</f>
        <v>0</v>
      </c>
      <c r="Q67" s="960">
        <f>Q60*$C$65</f>
        <v>0</v>
      </c>
      <c r="S67" s="960">
        <f>S60*$C$65</f>
        <v>0</v>
      </c>
      <c r="U67" s="960">
        <f>U60*$C$65</f>
        <v>0</v>
      </c>
      <c r="W67" s="960">
        <f>W60*$C$65</f>
        <v>0</v>
      </c>
      <c r="Y67" s="960">
        <f>Y60*$C$65</f>
        <v>0</v>
      </c>
      <c r="AA67" s="960">
        <f>AA60*$C$65</f>
        <v>0</v>
      </c>
      <c r="AC67" s="960">
        <f>AC60*$C$65</f>
        <v>0</v>
      </c>
      <c r="AE67" s="960">
        <f>AE60*$C$65</f>
        <v>0</v>
      </c>
      <c r="AG67" s="960">
        <f>AG60*$C$65</f>
        <v>0</v>
      </c>
    </row>
    <row r="68" spans="1:34" s="960" customFormat="1">
      <c r="A68" s="965"/>
      <c r="B68" s="965"/>
      <c r="C68" s="970"/>
      <c r="E68" s="965"/>
      <c r="G68" s="960">
        <f t="shared" ref="G68:AG69" si="2">E68*$C$66</f>
        <v>0</v>
      </c>
      <c r="I68" s="960">
        <f t="shared" si="2"/>
        <v>0</v>
      </c>
      <c r="K68" s="960">
        <f t="shared" si="2"/>
        <v>0</v>
      </c>
      <c r="M68" s="960">
        <f t="shared" si="2"/>
        <v>0</v>
      </c>
      <c r="O68" s="960">
        <f t="shared" si="2"/>
        <v>0</v>
      </c>
      <c r="Q68" s="960">
        <f t="shared" si="2"/>
        <v>0</v>
      </c>
      <c r="S68" s="960">
        <f t="shared" si="2"/>
        <v>0</v>
      </c>
      <c r="U68" s="960">
        <f t="shared" si="2"/>
        <v>0</v>
      </c>
      <c r="W68" s="960">
        <f t="shared" si="2"/>
        <v>0</v>
      </c>
      <c r="Y68" s="960">
        <f t="shared" si="2"/>
        <v>0</v>
      </c>
      <c r="AA68" s="960">
        <f t="shared" si="2"/>
        <v>0</v>
      </c>
      <c r="AC68" s="960">
        <f t="shared" si="2"/>
        <v>0</v>
      </c>
      <c r="AE68" s="960">
        <f t="shared" si="2"/>
        <v>0</v>
      </c>
      <c r="AG68" s="960">
        <f t="shared" si="2"/>
        <v>0</v>
      </c>
    </row>
    <row r="69" spans="1:34" s="960" customFormat="1">
      <c r="A69" s="965"/>
      <c r="B69" s="965"/>
      <c r="C69" s="970"/>
      <c r="E69" s="967"/>
      <c r="G69" s="968">
        <f t="shared" si="2"/>
        <v>0</v>
      </c>
      <c r="I69" s="968">
        <f t="shared" si="2"/>
        <v>0</v>
      </c>
      <c r="K69" s="968">
        <f t="shared" si="2"/>
        <v>0</v>
      </c>
      <c r="M69" s="968">
        <f t="shared" si="2"/>
        <v>0</v>
      </c>
      <c r="O69" s="968">
        <f t="shared" si="2"/>
        <v>0</v>
      </c>
      <c r="Q69" s="968">
        <f t="shared" si="2"/>
        <v>0</v>
      </c>
      <c r="S69" s="968">
        <f t="shared" si="2"/>
        <v>0</v>
      </c>
      <c r="U69" s="968">
        <f t="shared" si="2"/>
        <v>0</v>
      </c>
      <c r="W69" s="968">
        <f t="shared" si="2"/>
        <v>0</v>
      </c>
      <c r="Y69" s="968">
        <f t="shared" si="2"/>
        <v>0</v>
      </c>
      <c r="AA69" s="968">
        <f t="shared" si="2"/>
        <v>0</v>
      </c>
      <c r="AC69" s="968">
        <f t="shared" si="2"/>
        <v>0</v>
      </c>
      <c r="AE69" s="968">
        <f t="shared" si="2"/>
        <v>0</v>
      </c>
      <c r="AG69" s="968">
        <f t="shared" si="2"/>
        <v>0</v>
      </c>
    </row>
    <row r="70" spans="1:34" s="960" customFormat="1">
      <c r="A70" s="962" t="s">
        <v>853</v>
      </c>
      <c r="C70" s="970"/>
      <c r="E70" s="960">
        <f>SUM(E66:E69)</f>
        <v>0</v>
      </c>
      <c r="G70" s="960">
        <f>SUM(G66:G69)</f>
        <v>0</v>
      </c>
      <c r="I70" s="960">
        <f>SUM(I66:I69)</f>
        <v>0</v>
      </c>
      <c r="K70" s="960">
        <f>SUM(K66:K69)</f>
        <v>0</v>
      </c>
      <c r="M70" s="960">
        <f>SUM(M66:M69)</f>
        <v>0</v>
      </c>
      <c r="O70" s="960">
        <f>SUM(O66:O69)</f>
        <v>0</v>
      </c>
      <c r="Q70" s="960">
        <f>SUM(Q66:Q69)</f>
        <v>0</v>
      </c>
      <c r="S70" s="960">
        <f>SUM(S66:S69)</f>
        <v>0</v>
      </c>
      <c r="U70" s="960">
        <f>SUM(U66:U69)</f>
        <v>0</v>
      </c>
      <c r="W70" s="960">
        <f>SUM(W66:W69)</f>
        <v>0</v>
      </c>
      <c r="Y70" s="960">
        <f>SUM(Y66:Y69)</f>
        <v>0</v>
      </c>
      <c r="AA70" s="960">
        <f>SUM(AA66:AA69)</f>
        <v>0</v>
      </c>
      <c r="AC70" s="960">
        <f>SUM(AC66:AC69)</f>
        <v>0</v>
      </c>
      <c r="AE70" s="960">
        <f>SUM(AE66:AE69)</f>
        <v>0</v>
      </c>
      <c r="AG70" s="960">
        <f>SUM(AG66:AG69)</f>
        <v>0</v>
      </c>
    </row>
    <row r="71" spans="1:34" s="960" customFormat="1">
      <c r="A71" s="962"/>
      <c r="C71" s="970"/>
    </row>
    <row r="72" spans="1:34" s="960" customFormat="1">
      <c r="A72" s="962" t="s">
        <v>1722</v>
      </c>
      <c r="C72" s="970"/>
      <c r="E72" s="962">
        <f>E60-E62-E70</f>
        <v>0</v>
      </c>
      <c r="G72" s="962">
        <f>G60-G62-G70</f>
        <v>0</v>
      </c>
      <c r="I72" s="962">
        <f>I60-I62-I70</f>
        <v>0</v>
      </c>
      <c r="K72" s="962">
        <f>K60-K62-K70</f>
        <v>0</v>
      </c>
      <c r="M72" s="962">
        <f>M60-M62-M70</f>
        <v>0</v>
      </c>
      <c r="O72" s="962">
        <f>O60-O62-O70</f>
        <v>0</v>
      </c>
      <c r="Q72" s="962">
        <f>Q60-Q62-Q70</f>
        <v>0</v>
      </c>
      <c r="S72" s="962">
        <f>S60-S62-S70</f>
        <v>0</v>
      </c>
      <c r="U72" s="962">
        <f>U60-U62-U70</f>
        <v>85040.983319761232</v>
      </c>
      <c r="W72" s="962">
        <f>W60-W62-W70</f>
        <v>1180007.4029533388</v>
      </c>
      <c r="Y72" s="962">
        <f>Y60-Y62-Y70</f>
        <v>1271361.9349601921</v>
      </c>
      <c r="AA72" s="962">
        <f>AA60-AA62-AA70</f>
        <v>1364313.4243244701</v>
      </c>
      <c r="AC72" s="962">
        <f>AC60-AC62-AC70</f>
        <v>1458876.7430137021</v>
      </c>
      <c r="AE72" s="962">
        <f>AE60-AE62-AE70</f>
        <v>1555066.2380641892</v>
      </c>
      <c r="AG72" s="962">
        <f>AG60-AG62-AG70</f>
        <v>1652895.6866827323</v>
      </c>
    </row>
    <row r="73" spans="1:34" s="960" customFormat="1">
      <c r="A73" s="529"/>
      <c r="C73" s="970"/>
    </row>
    <row r="74" spans="1:34" s="217" customFormat="1">
      <c r="A74" s="529"/>
      <c r="C74" s="183"/>
    </row>
    <row r="75" spans="1:34" s="217" customFormat="1">
      <c r="A75" s="960" t="s">
        <v>1721</v>
      </c>
      <c r="C75" s="183"/>
    </row>
    <row r="76" spans="1:34" s="217" customFormat="1">
      <c r="C76" s="183"/>
    </row>
    <row r="77" spans="1:34" s="234" customFormat="1" ht="30" customHeight="1">
      <c r="A77" s="2687" t="s">
        <v>1720</v>
      </c>
      <c r="B77" s="2688"/>
      <c r="C77" s="2688"/>
      <c r="D77" s="2688"/>
      <c r="E77" s="2688"/>
      <c r="F77" s="2688"/>
      <c r="G77" s="2688"/>
      <c r="H77" s="2688"/>
      <c r="I77" s="2688"/>
      <c r="J77" s="2688"/>
      <c r="K77" s="2688"/>
      <c r="L77" s="2688"/>
      <c r="M77" s="2688"/>
      <c r="N77" s="2688"/>
      <c r="O77" s="2688"/>
      <c r="P77" s="2688"/>
      <c r="Q77" s="2688"/>
      <c r="R77" s="2688"/>
      <c r="S77" s="2688"/>
      <c r="T77" s="2688"/>
      <c r="U77" s="2688"/>
      <c r="V77" s="2688"/>
      <c r="W77" s="2688"/>
      <c r="X77" s="2688"/>
      <c r="Y77" s="2688"/>
      <c r="Z77" s="2688"/>
      <c r="AA77" s="2688"/>
      <c r="AB77" s="2688"/>
      <c r="AC77" s="2688"/>
      <c r="AD77" s="2688"/>
      <c r="AE77" s="2688"/>
      <c r="AF77" s="2688"/>
      <c r="AG77" s="2688"/>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7"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85546875" hidden="1"/>
  </cols>
  <sheetData>
    <row r="1" spans="1:1" ht="47.25">
      <c r="A1" s="313" t="s">
        <v>970</v>
      </c>
    </row>
    <row r="2" spans="1:1" ht="15.75">
      <c r="A2" s="314"/>
    </row>
    <row r="3" spans="1:1" ht="15.75">
      <c r="A3" s="315" t="s">
        <v>965</v>
      </c>
    </row>
    <row r="4" spans="1:1" ht="15.75">
      <c r="A4" s="315" t="s">
        <v>966</v>
      </c>
    </row>
    <row r="5" spans="1:1" ht="15.75">
      <c r="A5" s="315" t="s">
        <v>967</v>
      </c>
    </row>
    <row r="6" spans="1:1" ht="15.75">
      <c r="A6" s="315" t="s">
        <v>969</v>
      </c>
    </row>
    <row r="7" spans="1:1" ht="15.75">
      <c r="A7" s="315" t="s">
        <v>968</v>
      </c>
    </row>
    <row r="8" spans="1:1" ht="15.75">
      <c r="A8" s="346" t="s">
        <v>1023</v>
      </c>
    </row>
    <row r="9" spans="1:1" ht="15.75">
      <c r="A9" s="315" t="s">
        <v>1024</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40625" defaultRowHeight="12.75" zeroHeight="1"/>
  <cols>
    <col min="1" max="1" width="35.7109375" style="204" customWidth="1"/>
    <col min="2" max="4" width="14.7109375" style="204" customWidth="1"/>
    <col min="5" max="5" width="50.7109375" style="204" customWidth="1"/>
    <col min="6" max="253" width="9.140625" style="204" customWidth="1"/>
    <col min="254" max="16384" width="9.140625" style="204"/>
  </cols>
  <sheetData>
    <row r="1" spans="1:6" s="275" customFormat="1" ht="18" customHeight="1">
      <c r="A1" s="513" t="s">
        <v>1216</v>
      </c>
      <c r="D1" s="280"/>
    </row>
    <row r="2" spans="1:6" s="275" customFormat="1">
      <c r="A2" s="259" t="s">
        <v>889</v>
      </c>
      <c r="B2" s="261"/>
      <c r="C2" s="261"/>
      <c r="D2" s="258"/>
      <c r="E2" s="262"/>
      <c r="F2" s="261"/>
    </row>
    <row r="3" spans="1:6" s="351" customFormat="1" ht="80.25" customHeight="1">
      <c r="A3" s="277"/>
      <c r="B3" s="263" t="s">
        <v>890</v>
      </c>
      <c r="C3" s="263" t="s">
        <v>891</v>
      </c>
      <c r="D3" s="263" t="s">
        <v>892</v>
      </c>
      <c r="E3" s="260" t="s">
        <v>893</v>
      </c>
      <c r="F3" s="260"/>
    </row>
    <row r="4" spans="1:6" s="352" customFormat="1">
      <c r="A4" s="264" t="s">
        <v>26</v>
      </c>
      <c r="B4" s="264"/>
      <c r="C4" s="264"/>
      <c r="D4" s="264"/>
      <c r="E4" s="282"/>
      <c r="F4" s="264"/>
    </row>
    <row r="5" spans="1:6" s="352" customFormat="1">
      <c r="A5" s="364" t="s">
        <v>27</v>
      </c>
      <c r="B5" s="266">
        <f>'Sources and Uses Budget'!$C4</f>
        <v>0</v>
      </c>
      <c r="C5" s="266">
        <f>'Sources and Uses Budget'!$C4</f>
        <v>0</v>
      </c>
      <c r="D5" s="270">
        <f>C5-B5</f>
        <v>0</v>
      </c>
      <c r="E5" s="268"/>
      <c r="F5" s="267"/>
    </row>
    <row r="6" spans="1:6" s="352" customFormat="1">
      <c r="A6" s="364" t="s">
        <v>28</v>
      </c>
      <c r="B6" s="266">
        <f>'Sources and Uses Budget'!$C5</f>
        <v>0</v>
      </c>
      <c r="C6" s="266">
        <f>'Sources and Uses Budget'!$C5</f>
        <v>0</v>
      </c>
      <c r="D6" s="270">
        <f t="shared" ref="D6:D77" si="0">C6-B6</f>
        <v>0</v>
      </c>
      <c r="E6" s="268"/>
      <c r="F6" s="267"/>
    </row>
    <row r="7" spans="1:6" s="352" customFormat="1">
      <c r="A7" s="364" t="s">
        <v>29</v>
      </c>
      <c r="B7" s="266">
        <f>'Sources and Uses Budget'!$C6</f>
        <v>296251</v>
      </c>
      <c r="C7" s="266">
        <f>'Sources and Uses Budget'!$C6</f>
        <v>296251</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593</v>
      </c>
      <c r="B9" s="270">
        <f>SUM(B5:B8)</f>
        <v>296251</v>
      </c>
      <c r="C9" s="270">
        <f>SUM(C5:C8)</f>
        <v>296251</v>
      </c>
      <c r="D9" s="270">
        <f t="shared" si="0"/>
        <v>0</v>
      </c>
      <c r="E9" s="268"/>
      <c r="F9" s="267"/>
    </row>
    <row r="10" spans="1:6" s="352" customFormat="1">
      <c r="A10" s="364" t="s">
        <v>594</v>
      </c>
      <c r="B10" s="266">
        <f>'Sources and Uses Budget'!$C9</f>
        <v>0</v>
      </c>
      <c r="C10" s="266">
        <f>'Sources and Uses Budget'!$C9</f>
        <v>0</v>
      </c>
      <c r="D10" s="270">
        <f t="shared" si="0"/>
        <v>0</v>
      </c>
      <c r="E10" s="268"/>
      <c r="F10" s="267"/>
    </row>
    <row r="11" spans="1:6" s="352" customFormat="1">
      <c r="A11" s="364" t="s">
        <v>595</v>
      </c>
      <c r="B11" s="266">
        <f>'Sources and Uses Budget'!$C10</f>
        <v>0</v>
      </c>
      <c r="C11" s="266">
        <f>'Sources and Uses Budget'!$C10</f>
        <v>0</v>
      </c>
      <c r="D11" s="270">
        <f t="shared" si="0"/>
        <v>0</v>
      </c>
      <c r="E11" s="268"/>
      <c r="F11" s="267"/>
    </row>
    <row r="12" spans="1:6" s="352" customFormat="1">
      <c r="A12" s="365" t="s">
        <v>596</v>
      </c>
      <c r="B12" s="270">
        <f>SUM(B10:B11)</f>
        <v>0</v>
      </c>
      <c r="C12" s="270">
        <f>SUM(C10:C11)</f>
        <v>0</v>
      </c>
      <c r="D12" s="270">
        <f t="shared" si="0"/>
        <v>0</v>
      </c>
      <c r="E12" s="268"/>
      <c r="F12" s="267"/>
    </row>
    <row r="13" spans="1:6" s="352" customFormat="1">
      <c r="A13" s="365" t="s">
        <v>84</v>
      </c>
      <c r="B13" s="270">
        <f>SUM(B9+B12)</f>
        <v>296251</v>
      </c>
      <c r="C13" s="270">
        <f>SUM(C9+C12)</f>
        <v>296251</v>
      </c>
      <c r="D13" s="270">
        <f t="shared" si="0"/>
        <v>0</v>
      </c>
      <c r="E13" s="268"/>
      <c r="F13" s="267"/>
    </row>
    <row r="14" spans="1:6" s="352" customFormat="1">
      <c r="A14" s="366" t="s">
        <v>902</v>
      </c>
      <c r="B14" s="266">
        <f>'Sources and Uses Budget'!$C13</f>
        <v>0</v>
      </c>
      <c r="C14" s="266">
        <f>'Sources and Uses Budget'!$C13</f>
        <v>0</v>
      </c>
      <c r="D14" s="270">
        <f t="shared" si="0"/>
        <v>0</v>
      </c>
      <c r="E14" s="268"/>
      <c r="F14" s="267"/>
    </row>
    <row r="15" spans="1:6" s="352" customFormat="1" ht="24">
      <c r="A15" s="364" t="s">
        <v>903</v>
      </c>
      <c r="B15" s="266">
        <f>'Sources and Uses Budget'!$C14</f>
        <v>0</v>
      </c>
      <c r="C15" s="266">
        <f>'Sources and Uses Budget'!$C14</f>
        <v>0</v>
      </c>
      <c r="D15" s="270">
        <f t="shared" si="0"/>
        <v>0</v>
      </c>
      <c r="E15" s="268"/>
      <c r="F15" s="267"/>
    </row>
    <row r="16" spans="1:6" s="352" customFormat="1">
      <c r="A16" s="364" t="s">
        <v>1160</v>
      </c>
      <c r="B16" s="266">
        <f>'Sources and Uses Budget'!$C15</f>
        <v>0</v>
      </c>
      <c r="C16" s="266">
        <f>'Sources and Uses Budget'!$C15</f>
        <v>0</v>
      </c>
      <c r="D16" s="270">
        <f t="shared" si="0"/>
        <v>0</v>
      </c>
      <c r="E16" s="268"/>
      <c r="F16" s="267"/>
    </row>
    <row r="17" spans="1:6" s="352" customFormat="1">
      <c r="A17" s="264" t="s">
        <v>597</v>
      </c>
      <c r="B17" s="264"/>
      <c r="C17" s="264"/>
      <c r="D17" s="264"/>
      <c r="E17" s="282"/>
      <c r="F17" s="264"/>
    </row>
    <row r="18" spans="1:6" s="352" customFormat="1">
      <c r="A18" s="145" t="s">
        <v>598</v>
      </c>
      <c r="B18" s="266">
        <f>'Sources and Uses Budget'!$C17</f>
        <v>0</v>
      </c>
      <c r="C18" s="266">
        <f>'Sources and Uses Budget'!$C17</f>
        <v>0</v>
      </c>
      <c r="D18" s="270">
        <f t="shared" si="0"/>
        <v>0</v>
      </c>
      <c r="E18" s="268"/>
      <c r="F18" s="267"/>
    </row>
    <row r="19" spans="1:6" s="352" customFormat="1">
      <c r="A19" s="145" t="s">
        <v>599</v>
      </c>
      <c r="B19" s="266">
        <f>'Sources and Uses Budget'!$C18</f>
        <v>0</v>
      </c>
      <c r="C19" s="266">
        <f>'Sources and Uses Budget'!$C18</f>
        <v>0</v>
      </c>
      <c r="D19" s="270">
        <f t="shared" si="0"/>
        <v>0</v>
      </c>
      <c r="E19" s="268"/>
      <c r="F19" s="267"/>
    </row>
    <row r="20" spans="1:6" s="352" customFormat="1">
      <c r="A20" s="145" t="s">
        <v>600</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1639</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c r="A27" s="1018" t="s">
        <v>133</v>
      </c>
      <c r="B27" s="270">
        <f>SUM(B18:B26)</f>
        <v>0</v>
      </c>
      <c r="C27" s="270">
        <f>SUM(C18:C26)</f>
        <v>0</v>
      </c>
      <c r="D27" s="270">
        <f>SUM(D18:D26)</f>
        <v>0</v>
      </c>
      <c r="E27" s="268"/>
      <c r="F27" s="267"/>
    </row>
    <row r="28" spans="1:6" s="352" customFormat="1">
      <c r="A28" s="271" t="s">
        <v>141</v>
      </c>
      <c r="B28" s="266">
        <f>'Sources and Uses Budget'!$C$27</f>
        <v>0</v>
      </c>
      <c r="C28" s="266">
        <f>'Sources and Uses Budget'!$C$27</f>
        <v>0</v>
      </c>
      <c r="D28" s="270">
        <f t="shared" si="0"/>
        <v>0</v>
      </c>
      <c r="E28" s="268"/>
      <c r="F28" s="267"/>
    </row>
    <row r="29" spans="1:6" s="352" customFormat="1">
      <c r="A29" s="264" t="s">
        <v>142</v>
      </c>
      <c r="B29" s="264"/>
      <c r="C29" s="264"/>
      <c r="D29" s="264"/>
      <c r="E29" s="282"/>
      <c r="F29" s="264"/>
    </row>
    <row r="30" spans="1:6" s="352" customFormat="1">
      <c r="A30" s="145" t="s">
        <v>598</v>
      </c>
      <c r="B30" s="266">
        <f>'Sources and Uses Budget'!$C29</f>
        <v>1221882</v>
      </c>
      <c r="C30" s="266">
        <f>'Sources and Uses Budget'!$C29</f>
        <v>1221882</v>
      </c>
      <c r="D30" s="270">
        <f t="shared" si="0"/>
        <v>0</v>
      </c>
      <c r="E30" s="268"/>
      <c r="F30" s="267"/>
    </row>
    <row r="31" spans="1:6" s="352" customFormat="1">
      <c r="A31" s="145" t="s">
        <v>599</v>
      </c>
      <c r="B31" s="266">
        <f>'Sources and Uses Budget'!$C30</f>
        <v>47653416</v>
      </c>
      <c r="C31" s="266">
        <f>'Sources and Uses Budget'!$C30</f>
        <v>47653416</v>
      </c>
      <c r="D31" s="270">
        <f t="shared" si="0"/>
        <v>0</v>
      </c>
      <c r="E31" s="268"/>
      <c r="F31" s="267"/>
    </row>
    <row r="32" spans="1:6" s="352" customFormat="1">
      <c r="A32" s="145" t="s">
        <v>600</v>
      </c>
      <c r="B32" s="266">
        <f>'Sources and Uses Budget'!$C31</f>
        <v>1221882</v>
      </c>
      <c r="C32" s="266">
        <f>'Sources and Uses Budget'!$C31</f>
        <v>1221882</v>
      </c>
      <c r="D32" s="270">
        <f t="shared" si="0"/>
        <v>0</v>
      </c>
      <c r="E32" s="268"/>
      <c r="F32" s="267"/>
    </row>
    <row r="33" spans="1:6" s="352" customFormat="1">
      <c r="A33" s="145" t="s">
        <v>137</v>
      </c>
      <c r="B33" s="266">
        <f>'Sources and Uses Budget'!$C32</f>
        <v>1001944</v>
      </c>
      <c r="C33" s="266">
        <f>'Sources and Uses Budget'!$C32</f>
        <v>1001944</v>
      </c>
      <c r="D33" s="270">
        <f t="shared" si="0"/>
        <v>0</v>
      </c>
      <c r="E33" s="268"/>
      <c r="F33" s="267"/>
    </row>
    <row r="34" spans="1:6" s="352" customFormat="1">
      <c r="A34" s="145" t="s">
        <v>138</v>
      </c>
      <c r="B34" s="266">
        <f>'Sources and Uses Budget'!$C33</f>
        <v>1277478</v>
      </c>
      <c r="C34" s="266">
        <f>'Sources and Uses Budget'!$C33</f>
        <v>1277478</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1001944</v>
      </c>
      <c r="C36" s="266">
        <f>'Sources and Uses Budget'!$C35</f>
        <v>1001944</v>
      </c>
      <c r="D36" s="270">
        <f t="shared" si="0"/>
        <v>0</v>
      </c>
      <c r="E36" s="268"/>
      <c r="F36" s="267"/>
    </row>
    <row r="37" spans="1:6" s="352" customFormat="1">
      <c r="A37" s="283" t="s">
        <v>1639</v>
      </c>
      <c r="B37" s="266">
        <f>'Sources and Uses Budget'!$C36</f>
        <v>0</v>
      </c>
      <c r="C37" s="266">
        <f>'Sources and Uses Budget'!$C36</f>
        <v>0</v>
      </c>
      <c r="D37" s="270"/>
      <c r="E37" s="268"/>
      <c r="F37" s="267"/>
    </row>
    <row r="38" spans="1:6" s="352" customFormat="1">
      <c r="A38" s="155" t="str">
        <f>'Sources and Uses Budget'!A37</f>
        <v>Other: (Specify)</v>
      </c>
      <c r="B38" s="266">
        <f>'Sources and Uses Budget'!$C37</f>
        <v>0</v>
      </c>
      <c r="C38" s="266">
        <f>'Sources and Uses Budget'!$C37</f>
        <v>0</v>
      </c>
      <c r="D38" s="270">
        <f t="shared" si="0"/>
        <v>0</v>
      </c>
      <c r="E38" s="268"/>
      <c r="F38" s="267"/>
    </row>
    <row r="39" spans="1:6" s="352" customFormat="1">
      <c r="A39" s="271" t="s">
        <v>143</v>
      </c>
      <c r="B39" s="270">
        <f>SUM(B30:B38)</f>
        <v>53378546</v>
      </c>
      <c r="C39" s="270">
        <f>SUM(C30:C38)</f>
        <v>53378546</v>
      </c>
      <c r="D39" s="270">
        <f t="shared" si="0"/>
        <v>0</v>
      </c>
      <c r="E39" s="268"/>
      <c r="F39" s="267"/>
    </row>
    <row r="40" spans="1:6" s="352" customFormat="1">
      <c r="A40" s="264" t="s">
        <v>144</v>
      </c>
      <c r="B40" s="264"/>
      <c r="C40" s="264"/>
      <c r="D40" s="264"/>
      <c r="E40" s="282"/>
      <c r="F40" s="264"/>
    </row>
    <row r="41" spans="1:6" s="352" customFormat="1">
      <c r="A41" s="269" t="s">
        <v>145</v>
      </c>
      <c r="B41" s="266">
        <f>'Sources and Uses Budget'!$C40</f>
        <v>3243701</v>
      </c>
      <c r="C41" s="266">
        <f>'Sources and Uses Budget'!$C40</f>
        <v>3243701</v>
      </c>
      <c r="D41" s="270">
        <f t="shared" si="0"/>
        <v>0</v>
      </c>
      <c r="E41" s="268"/>
      <c r="F41" s="267"/>
    </row>
    <row r="42" spans="1:6" s="352" customFormat="1">
      <c r="A42" s="269" t="s">
        <v>146</v>
      </c>
      <c r="B42" s="266">
        <f>'Sources and Uses Budget'!$C41</f>
        <v>303550</v>
      </c>
      <c r="C42" s="266">
        <f>'Sources and Uses Budget'!$C41</f>
        <v>303550</v>
      </c>
      <c r="D42" s="270">
        <f t="shared" si="0"/>
        <v>0</v>
      </c>
      <c r="E42" s="268"/>
      <c r="F42" s="267"/>
    </row>
    <row r="43" spans="1:6" s="352" customFormat="1">
      <c r="A43" s="271" t="s">
        <v>147</v>
      </c>
      <c r="B43" s="270">
        <f>SUM(B41:B42)</f>
        <v>3547251</v>
      </c>
      <c r="C43" s="270">
        <f>SUM(C41:C42)</f>
        <v>3547251</v>
      </c>
      <c r="D43" s="270">
        <f t="shared" si="0"/>
        <v>0</v>
      </c>
      <c r="E43" s="268"/>
      <c r="F43" s="267"/>
    </row>
    <row r="44" spans="1:6" s="352" customFormat="1">
      <c r="A44" s="271" t="s">
        <v>148</v>
      </c>
      <c r="B44" s="266">
        <f>'Sources and Uses Budget'!$C43</f>
        <v>0</v>
      </c>
      <c r="C44" s="266">
        <f>'Sources and Uses Budget'!$C43</f>
        <v>0</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6626210</v>
      </c>
      <c r="C46" s="266">
        <f>'Sources and Uses Budget'!$C45</f>
        <v>6626210</v>
      </c>
      <c r="D46" s="270">
        <f t="shared" si="0"/>
        <v>0</v>
      </c>
      <c r="E46" s="268"/>
      <c r="F46" s="267"/>
    </row>
    <row r="47" spans="1:6" s="352" customFormat="1">
      <c r="A47" s="145" t="s">
        <v>151</v>
      </c>
      <c r="B47" s="266">
        <f>'Sources and Uses Budget'!$C46</f>
        <v>450000</v>
      </c>
      <c r="C47" s="266">
        <f>'Sources and Uses Budget'!$C46</f>
        <v>450000</v>
      </c>
      <c r="D47" s="270">
        <f t="shared" si="0"/>
        <v>0</v>
      </c>
      <c r="E47" s="268"/>
      <c r="F47" s="267"/>
    </row>
    <row r="48" spans="1:6" s="352" customFormat="1" ht="12" customHeight="1">
      <c r="A48" s="186" t="s">
        <v>152</v>
      </c>
      <c r="B48" s="266">
        <f>'Sources and Uses Budget'!$C47</f>
        <v>35000</v>
      </c>
      <c r="C48" s="266">
        <f>'Sources and Uses Budget'!$C47</f>
        <v>35000</v>
      </c>
      <c r="D48" s="270">
        <f t="shared" si="0"/>
        <v>0</v>
      </c>
      <c r="E48" s="268"/>
      <c r="F48" s="267"/>
    </row>
    <row r="49" spans="1:6" s="352" customFormat="1">
      <c r="A49" s="145" t="s">
        <v>153</v>
      </c>
      <c r="B49" s="266">
        <f>'Sources and Uses Budget'!$C48</f>
        <v>112500</v>
      </c>
      <c r="C49" s="266">
        <f>'Sources and Uses Budget'!$C48</f>
        <v>112500</v>
      </c>
      <c r="D49" s="270">
        <f t="shared" si="0"/>
        <v>0</v>
      </c>
      <c r="E49" s="268"/>
      <c r="F49" s="267"/>
    </row>
    <row r="50" spans="1:6" s="352" customFormat="1">
      <c r="A50" s="145" t="s">
        <v>57</v>
      </c>
      <c r="B50" s="266">
        <f>'Sources and Uses Budget'!$C49</f>
        <v>155500</v>
      </c>
      <c r="C50" s="266">
        <f>'Sources and Uses Budget'!$C49</f>
        <v>155500</v>
      </c>
      <c r="D50" s="270">
        <f t="shared" si="0"/>
        <v>0</v>
      </c>
      <c r="E50" s="268"/>
      <c r="F50" s="267"/>
    </row>
    <row r="51" spans="1:6" s="352" customFormat="1">
      <c r="A51" s="145" t="s">
        <v>156</v>
      </c>
      <c r="B51" s="266">
        <f>'Sources and Uses Budget'!$C50</f>
        <v>300000</v>
      </c>
      <c r="C51" s="266">
        <f>'Sources and Uses Budget'!$C50</f>
        <v>300000</v>
      </c>
      <c r="D51" s="270">
        <f t="shared" si="0"/>
        <v>0</v>
      </c>
      <c r="E51" s="268"/>
      <c r="F51" s="267"/>
    </row>
    <row r="52" spans="1:6" s="352" customFormat="1">
      <c r="A52" s="283" t="s">
        <v>154</v>
      </c>
      <c r="B52" s="266">
        <f>'Sources and Uses Budget'!$C51</f>
        <v>0</v>
      </c>
      <c r="C52" s="266">
        <f>'Sources and Uses Budget'!$C51</f>
        <v>0</v>
      </c>
      <c r="D52" s="270">
        <f t="shared" si="0"/>
        <v>0</v>
      </c>
      <c r="E52" s="268"/>
      <c r="F52" s="267"/>
    </row>
    <row r="53" spans="1:6" s="352" customFormat="1">
      <c r="A53" s="145" t="s">
        <v>155</v>
      </c>
      <c r="B53" s="266">
        <f>'Sources and Uses Budget'!$C52</f>
        <v>1668971</v>
      </c>
      <c r="C53" s="266">
        <f>'Sources and Uses Budget'!$C52</f>
        <v>1668971</v>
      </c>
      <c r="D53" s="270">
        <f t="shared" si="0"/>
        <v>0</v>
      </c>
      <c r="E53" s="268"/>
      <c r="F53" s="267"/>
    </row>
    <row r="54" spans="1:6" s="352" customFormat="1">
      <c r="A54" s="155" t="str">
        <f>'Sources and Uses Budget'!A53</f>
        <v>Other: Cost of Issuance Contingency</v>
      </c>
      <c r="B54" s="266">
        <f>'Sources and Uses Budget'!$C53</f>
        <v>1000000</v>
      </c>
      <c r="C54" s="266">
        <f>'Sources and Uses Budget'!$C53</f>
        <v>1000000</v>
      </c>
      <c r="D54" s="270">
        <f t="shared" si="0"/>
        <v>0</v>
      </c>
      <c r="E54" s="268"/>
      <c r="F54" s="267"/>
    </row>
    <row r="55" spans="1:6" s="353" customFormat="1">
      <c r="A55" s="271" t="s">
        <v>157</v>
      </c>
      <c r="B55" s="273">
        <f>SUM(B46:B54)</f>
        <v>10348181</v>
      </c>
      <c r="C55" s="273">
        <f>SUM(C46:C54)</f>
        <v>10348181</v>
      </c>
      <c r="D55" s="270">
        <f t="shared" si="0"/>
        <v>0</v>
      </c>
      <c r="E55" s="268"/>
      <c r="F55" s="267"/>
    </row>
    <row r="56" spans="1:6" s="352" customFormat="1">
      <c r="A56" s="264" t="s">
        <v>417</v>
      </c>
      <c r="B56" s="264"/>
      <c r="C56" s="264"/>
      <c r="D56" s="264"/>
      <c r="E56" s="282"/>
      <c r="F56" s="264"/>
    </row>
    <row r="57" spans="1:6" s="352" customFormat="1">
      <c r="A57" s="269" t="s">
        <v>158</v>
      </c>
      <c r="B57" s="266">
        <f>'Sources and Uses Budget'!$C56</f>
        <v>0</v>
      </c>
      <c r="C57" s="266">
        <f>'Sources and Uses Budget'!$C56</f>
        <v>0</v>
      </c>
      <c r="D57" s="270">
        <f t="shared" si="0"/>
        <v>0</v>
      </c>
      <c r="E57" s="268"/>
      <c r="F57" s="267"/>
    </row>
    <row r="58" spans="1:6" s="352" customFormat="1" ht="12" customHeight="1">
      <c r="A58" s="269" t="s">
        <v>152</v>
      </c>
      <c r="B58" s="266">
        <f>'Sources and Uses Budget'!$C57</f>
        <v>0</v>
      </c>
      <c r="C58" s="266">
        <f>'Sources and Uses Budget'!$C57</f>
        <v>0</v>
      </c>
      <c r="D58" s="270">
        <f t="shared" si="0"/>
        <v>0</v>
      </c>
      <c r="E58" s="268"/>
      <c r="F58" s="267"/>
    </row>
    <row r="59" spans="1:6" s="352" customFormat="1">
      <c r="A59" s="269" t="s">
        <v>156</v>
      </c>
      <c r="B59" s="266">
        <f>'Sources and Uses Budget'!$C58</f>
        <v>0</v>
      </c>
      <c r="C59" s="266">
        <f>'Sources and Uses Budget'!$C58</f>
        <v>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t="str">
        <f>'Sources and Uses Budget'!A61</f>
        <v>Other: Ground Lease Monitoring Fee</v>
      </c>
      <c r="B62" s="266">
        <f>'Sources and Uses Budget'!$C61</f>
        <v>100000</v>
      </c>
      <c r="C62" s="266">
        <f>'Sources and Uses Budget'!$C61</f>
        <v>100000</v>
      </c>
      <c r="D62" s="270">
        <f t="shared" si="0"/>
        <v>0</v>
      </c>
      <c r="E62" s="268"/>
      <c r="F62" s="267"/>
    </row>
    <row r="63" spans="1:6" s="352" customFormat="1" ht="13.7" customHeight="1">
      <c r="A63" s="271" t="s">
        <v>300</v>
      </c>
      <c r="B63" s="270">
        <f>SUM(B57:B62)</f>
        <v>100000</v>
      </c>
      <c r="C63" s="270">
        <f>SUM(C57:C62)</f>
        <v>100000</v>
      </c>
      <c r="D63" s="270">
        <f t="shared" si="0"/>
        <v>0</v>
      </c>
      <c r="E63" s="268"/>
      <c r="F63" s="267"/>
    </row>
    <row r="64" spans="1:6" s="352" customFormat="1">
      <c r="A64" s="274" t="s">
        <v>301</v>
      </c>
      <c r="B64" s="270">
        <f>SUM(B9+B12+B14+B15+B17+B26+B28+B39+B43+B44+B55+B63)</f>
        <v>67670229</v>
      </c>
      <c r="C64" s="270">
        <f>SUM(C9+C12+C14+C15+C17+C26+C28+C39+C43+C44+C55+C63)</f>
        <v>67670229</v>
      </c>
      <c r="D64" s="270">
        <f t="shared" si="0"/>
        <v>0</v>
      </c>
      <c r="E64" s="268"/>
      <c r="F64" s="267"/>
    </row>
    <row r="65" spans="1:6" s="352" customFormat="1" ht="24">
      <c r="A65" s="141" t="s">
        <v>1643</v>
      </c>
      <c r="B65" s="264"/>
      <c r="C65" s="264"/>
      <c r="D65" s="264"/>
      <c r="E65" s="282"/>
      <c r="F65" s="264"/>
    </row>
    <row r="66" spans="1:6" s="352" customFormat="1">
      <c r="A66" s="145" t="s">
        <v>170</v>
      </c>
      <c r="B66" s="266">
        <f>'Sources and Uses Budget'!$C65</f>
        <v>65000</v>
      </c>
      <c r="C66" s="266">
        <f>'Sources and Uses Budget'!$C65</f>
        <v>65000</v>
      </c>
      <c r="D66" s="270">
        <f t="shared" si="0"/>
        <v>0</v>
      </c>
      <c r="E66" s="268"/>
      <c r="F66" s="267"/>
    </row>
    <row r="67" spans="1:6" s="352" customFormat="1" ht="24">
      <c r="A67" s="283" t="s">
        <v>1640</v>
      </c>
      <c r="B67" s="266">
        <f>'Sources and Uses Budget'!$C66</f>
        <v>0</v>
      </c>
      <c r="C67" s="266">
        <f>'Sources and Uses Budget'!$C66</f>
        <v>0</v>
      </c>
      <c r="D67" s="270"/>
      <c r="E67" s="268"/>
      <c r="F67" s="267"/>
    </row>
    <row r="68" spans="1:6" s="352" customFormat="1" ht="24">
      <c r="A68" s="283" t="s">
        <v>1641</v>
      </c>
      <c r="B68" s="266">
        <f>'Sources and Uses Budget'!$C67</f>
        <v>400000</v>
      </c>
      <c r="C68" s="266">
        <f>'Sources and Uses Budget'!$C67</f>
        <v>400000</v>
      </c>
      <c r="D68" s="270"/>
      <c r="E68" s="268"/>
      <c r="F68" s="267"/>
    </row>
    <row r="69" spans="1:6" s="352" customFormat="1">
      <c r="A69" s="283" t="s">
        <v>1647</v>
      </c>
      <c r="B69" s="266">
        <f>'Sources and Uses Budget'!$C68</f>
        <v>0</v>
      </c>
      <c r="C69" s="266">
        <f>'Sources and Uses Budget'!$C68</f>
        <v>0</v>
      </c>
      <c r="D69" s="270"/>
      <c r="E69" s="268"/>
      <c r="F69" s="267"/>
    </row>
    <row r="70" spans="1:6" s="352" customFormat="1">
      <c r="A70" s="155" t="str">
        <f>'Sources and Uses Budget'!A69</f>
        <v>Other: Bond Counsel</v>
      </c>
      <c r="B70" s="266">
        <f>'Sources and Uses Budget'!$C69</f>
        <v>50000</v>
      </c>
      <c r="C70" s="266">
        <f>'Sources and Uses Budget'!$C69</f>
        <v>50000</v>
      </c>
      <c r="D70" s="270">
        <f t="shared" si="0"/>
        <v>0</v>
      </c>
      <c r="E70" s="268"/>
      <c r="F70" s="267"/>
    </row>
    <row r="71" spans="1:6" s="352" customFormat="1">
      <c r="A71" s="149" t="s">
        <v>1644</v>
      </c>
      <c r="B71" s="270">
        <f>SUM(B66:B70)</f>
        <v>515000</v>
      </c>
      <c r="C71" s="270">
        <f>SUM(C66:C70)</f>
        <v>515000</v>
      </c>
      <c r="D71" s="270">
        <f t="shared" si="0"/>
        <v>0</v>
      </c>
      <c r="E71" s="268"/>
      <c r="F71" s="267"/>
    </row>
    <row r="72" spans="1:6" s="352" customFormat="1">
      <c r="A72" s="264" t="s">
        <v>602</v>
      </c>
      <c r="B72" s="264"/>
      <c r="C72" s="264"/>
      <c r="D72" s="264"/>
      <c r="E72" s="282"/>
      <c r="F72" s="264"/>
    </row>
    <row r="73" spans="1:6" s="352" customFormat="1">
      <c r="A73" s="269" t="s">
        <v>603</v>
      </c>
      <c r="B73" s="266">
        <f>'Sources and Uses Budget'!$C72</f>
        <v>0</v>
      </c>
      <c r="C73" s="266">
        <f>'Sources and Uses Budget'!$C72</f>
        <v>0</v>
      </c>
      <c r="D73" s="270">
        <f t="shared" si="0"/>
        <v>0</v>
      </c>
      <c r="E73" s="268"/>
      <c r="F73" s="267"/>
    </row>
    <row r="74" spans="1:6" s="352" customFormat="1">
      <c r="A74" s="269" t="s">
        <v>604</v>
      </c>
      <c r="B74" s="266">
        <f>'Sources and Uses Budget'!$C73</f>
        <v>0</v>
      </c>
      <c r="C74" s="266">
        <f>'Sources and Uses Budget'!$C73</f>
        <v>0</v>
      </c>
      <c r="D74" s="270">
        <f t="shared" si="0"/>
        <v>0</v>
      </c>
      <c r="E74" s="268"/>
      <c r="F74" s="267"/>
    </row>
    <row r="75" spans="1:6" s="352" customFormat="1">
      <c r="A75" s="287" t="s">
        <v>985</v>
      </c>
      <c r="B75" s="266">
        <f>'Sources and Uses Budget'!$C74</f>
        <v>0</v>
      </c>
      <c r="C75" s="266">
        <f>'Sources and Uses Budget'!$C74</f>
        <v>0</v>
      </c>
      <c r="D75" s="270">
        <f t="shared" si="0"/>
        <v>0</v>
      </c>
      <c r="E75" s="268"/>
      <c r="F75" s="267"/>
    </row>
    <row r="76" spans="1:6" s="352" customFormat="1">
      <c r="A76" s="269" t="s">
        <v>605</v>
      </c>
      <c r="B76" s="266">
        <f>'Sources and Uses Budget'!$C75</f>
        <v>1338473</v>
      </c>
      <c r="C76" s="266">
        <f>'Sources and Uses Budget'!$C75</f>
        <v>1338473</v>
      </c>
      <c r="D76" s="270">
        <f t="shared" si="0"/>
        <v>0</v>
      </c>
      <c r="E76" s="268"/>
      <c r="F76" s="267"/>
    </row>
    <row r="77" spans="1:6" s="352" customFormat="1">
      <c r="A77" s="272" t="s">
        <v>34</v>
      </c>
      <c r="B77" s="266">
        <f>'Sources and Uses Budget'!$C76</f>
        <v>0</v>
      </c>
      <c r="C77" s="266">
        <f>'Sources and Uses Budget'!$C76</f>
        <v>0</v>
      </c>
      <c r="D77" s="270">
        <f t="shared" si="0"/>
        <v>0</v>
      </c>
      <c r="E77" s="268"/>
      <c r="F77" s="267"/>
    </row>
    <row r="78" spans="1:6" s="352" customFormat="1">
      <c r="A78" s="271" t="s">
        <v>606</v>
      </c>
      <c r="B78" s="270">
        <f>SUM(B73:B77)</f>
        <v>1338473</v>
      </c>
      <c r="C78" s="270">
        <f>SUM(C73:C77)</f>
        <v>1338473</v>
      </c>
      <c r="D78" s="270">
        <f t="shared" ref="D78:D106" si="1">C78-B78</f>
        <v>0</v>
      </c>
      <c r="E78" s="268"/>
      <c r="F78" s="267"/>
    </row>
    <row r="79" spans="1:6" s="352" customFormat="1">
      <c r="A79" s="264" t="s">
        <v>1209</v>
      </c>
      <c r="B79" s="264"/>
      <c r="C79" s="264"/>
      <c r="D79" s="264"/>
      <c r="E79" s="282"/>
      <c r="F79" s="264"/>
    </row>
    <row r="80" spans="1:6" s="352" customFormat="1">
      <c r="A80" s="510" t="s">
        <v>1211</v>
      </c>
      <c r="B80" s="266">
        <f>'Sources and Uses Budget'!$C79</f>
        <v>2668928</v>
      </c>
      <c r="C80" s="266">
        <f>'Sources and Uses Budget'!$C79</f>
        <v>2668928</v>
      </c>
      <c r="D80" s="270">
        <f t="shared" si="1"/>
        <v>0</v>
      </c>
      <c r="E80" s="268"/>
      <c r="F80" s="267"/>
    </row>
    <row r="81" spans="1:6" s="352" customFormat="1">
      <c r="A81" s="510" t="s">
        <v>58</v>
      </c>
      <c r="B81" s="266">
        <f>'Sources and Uses Budget'!$C80</f>
        <v>1371318</v>
      </c>
      <c r="C81" s="266">
        <f>'Sources and Uses Budget'!$C80</f>
        <v>1371318</v>
      </c>
      <c r="D81" s="270">
        <f>C81-B81</f>
        <v>0</v>
      </c>
      <c r="E81" s="268"/>
      <c r="F81" s="267"/>
    </row>
    <row r="82" spans="1:6" s="352" customFormat="1">
      <c r="A82" s="271" t="s">
        <v>1208</v>
      </c>
      <c r="B82" s="270">
        <f>SUM(B80:B81)</f>
        <v>4040246</v>
      </c>
      <c r="C82" s="270">
        <f>SUM(C80:C81)</f>
        <v>4040246</v>
      </c>
      <c r="D82" s="270">
        <f t="shared" si="1"/>
        <v>0</v>
      </c>
      <c r="E82" s="268"/>
      <c r="F82" s="267"/>
    </row>
    <row r="83" spans="1:6" s="352" customFormat="1">
      <c r="A83" s="264" t="s">
        <v>765</v>
      </c>
      <c r="B83" s="264"/>
      <c r="C83" s="264"/>
      <c r="D83" s="264"/>
      <c r="E83" s="282"/>
      <c r="F83" s="264"/>
    </row>
    <row r="84" spans="1:6" s="352" customFormat="1" ht="13.7" customHeight="1">
      <c r="A84" s="269" t="s">
        <v>766</v>
      </c>
      <c r="B84" s="266">
        <f>'Sources and Uses Budget'!$C83</f>
        <v>235808</v>
      </c>
      <c r="C84" s="266">
        <f>'Sources and Uses Budget'!$C83</f>
        <v>235808</v>
      </c>
      <c r="D84" s="270">
        <f t="shared" si="1"/>
        <v>0</v>
      </c>
      <c r="E84" s="268"/>
      <c r="F84" s="267"/>
    </row>
    <row r="85" spans="1:6" s="352" customFormat="1">
      <c r="A85" s="269" t="s">
        <v>767</v>
      </c>
      <c r="B85" s="266">
        <f>'Sources and Uses Budget'!$C84</f>
        <v>0</v>
      </c>
      <c r="C85" s="266">
        <f>'Sources and Uses Budget'!$C84</f>
        <v>0</v>
      </c>
      <c r="D85" s="270">
        <f t="shared" si="1"/>
        <v>0</v>
      </c>
      <c r="E85" s="268"/>
      <c r="F85" s="267"/>
    </row>
    <row r="86" spans="1:6" s="352" customFormat="1">
      <c r="A86" s="269" t="s">
        <v>768</v>
      </c>
      <c r="B86" s="266">
        <f>'Sources and Uses Budget'!$C85</f>
        <v>0</v>
      </c>
      <c r="C86" s="266">
        <f>'Sources and Uses Budget'!$C85</f>
        <v>0</v>
      </c>
      <c r="D86" s="270">
        <f t="shared" si="1"/>
        <v>0</v>
      </c>
      <c r="E86" s="268"/>
      <c r="F86" s="267"/>
    </row>
    <row r="87" spans="1:6" s="352" customFormat="1">
      <c r="A87" s="269" t="s">
        <v>769</v>
      </c>
      <c r="B87" s="266">
        <f>'Sources and Uses Budget'!$C86</f>
        <v>4058359</v>
      </c>
      <c r="C87" s="266">
        <f>'Sources and Uses Budget'!$C86</f>
        <v>4058359</v>
      </c>
      <c r="D87" s="270">
        <f t="shared" si="1"/>
        <v>0</v>
      </c>
      <c r="E87" s="268"/>
      <c r="F87" s="267"/>
    </row>
    <row r="88" spans="1:6" s="352" customFormat="1">
      <c r="A88" s="269" t="s">
        <v>770</v>
      </c>
      <c r="B88" s="266">
        <f>'Sources and Uses Budget'!$C87</f>
        <v>0</v>
      </c>
      <c r="C88" s="266">
        <f>'Sources and Uses Budget'!$C87</f>
        <v>0</v>
      </c>
      <c r="D88" s="270">
        <f t="shared" si="1"/>
        <v>0</v>
      </c>
      <c r="E88" s="268"/>
      <c r="F88" s="267"/>
    </row>
    <row r="89" spans="1:6" s="352" customFormat="1">
      <c r="A89" s="269" t="s">
        <v>771</v>
      </c>
      <c r="B89" s="266">
        <f>'Sources and Uses Budget'!$C88</f>
        <v>340000</v>
      </c>
      <c r="C89" s="266">
        <f>'Sources and Uses Budget'!$C88</f>
        <v>340000</v>
      </c>
      <c r="D89" s="270">
        <f t="shared" si="1"/>
        <v>0</v>
      </c>
      <c r="E89" s="268"/>
      <c r="F89" s="267"/>
    </row>
    <row r="90" spans="1:6" s="352" customFormat="1">
      <c r="A90" s="269" t="s">
        <v>772</v>
      </c>
      <c r="B90" s="266">
        <f>'Sources and Uses Budget'!$C89</f>
        <v>381011</v>
      </c>
      <c r="C90" s="266">
        <f>'Sources and Uses Budget'!$C89</f>
        <v>381011</v>
      </c>
      <c r="D90" s="270">
        <f t="shared" si="1"/>
        <v>0</v>
      </c>
      <c r="E90" s="268"/>
      <c r="F90" s="267"/>
    </row>
    <row r="91" spans="1:6" s="352" customFormat="1">
      <c r="A91" s="269" t="s">
        <v>773</v>
      </c>
      <c r="B91" s="266">
        <f>'Sources and Uses Budget'!$C90</f>
        <v>0</v>
      </c>
      <c r="C91" s="266">
        <f>'Sources and Uses Budget'!$C90</f>
        <v>0</v>
      </c>
      <c r="D91" s="270">
        <f t="shared" si="1"/>
        <v>0</v>
      </c>
      <c r="E91" s="268"/>
      <c r="F91" s="267"/>
    </row>
    <row r="92" spans="1:6" s="352" customFormat="1">
      <c r="A92" s="269" t="s">
        <v>371</v>
      </c>
      <c r="B92" s="266">
        <f>'Sources and Uses Budget'!$C91</f>
        <v>0</v>
      </c>
      <c r="C92" s="266">
        <f>'Sources and Uses Budget'!$C91</f>
        <v>0</v>
      </c>
      <c r="D92" s="270">
        <f t="shared" si="1"/>
        <v>0</v>
      </c>
      <c r="E92" s="268"/>
      <c r="F92" s="267"/>
    </row>
    <row r="93" spans="1:6" s="352" customFormat="1">
      <c r="A93" s="510" t="s">
        <v>1210</v>
      </c>
      <c r="B93" s="266">
        <f>'Sources and Uses Budget'!$C92</f>
        <v>0</v>
      </c>
      <c r="C93" s="266">
        <f>'Sources and Uses Budget'!$C92</f>
        <v>0</v>
      </c>
      <c r="D93" s="270">
        <f t="shared" si="1"/>
        <v>0</v>
      </c>
      <c r="E93" s="268"/>
      <c r="F93" s="267"/>
    </row>
    <row r="94" spans="1:6" s="352" customFormat="1">
      <c r="A94" s="272" t="s">
        <v>34</v>
      </c>
      <c r="B94" s="266">
        <f>'Sources and Uses Budget'!$C93</f>
        <v>377132</v>
      </c>
      <c r="C94" s="266">
        <f>'Sources and Uses Budget'!$C93</f>
        <v>377132</v>
      </c>
      <c r="D94" s="270">
        <f t="shared" si="1"/>
        <v>0</v>
      </c>
      <c r="E94" s="268"/>
      <c r="F94" s="267"/>
    </row>
    <row r="95" spans="1:6" s="352" customFormat="1">
      <c r="A95" s="272" t="s">
        <v>34</v>
      </c>
      <c r="B95" s="266">
        <f>'Sources and Uses Budget'!$C94</f>
        <v>353387</v>
      </c>
      <c r="C95" s="266">
        <f>'Sources and Uses Budget'!$C94</f>
        <v>353387</v>
      </c>
      <c r="D95" s="270">
        <f t="shared" si="1"/>
        <v>0</v>
      </c>
      <c r="E95" s="268"/>
      <c r="F95" s="267"/>
    </row>
    <row r="96" spans="1:6" s="352" customFormat="1">
      <c r="A96" s="272" t="s">
        <v>34</v>
      </c>
      <c r="B96" s="266">
        <f>'Sources and Uses Budget'!$C95</f>
        <v>0</v>
      </c>
      <c r="C96" s="266">
        <f>'Sources and Uses Budget'!$C95</f>
        <v>0</v>
      </c>
      <c r="D96" s="270">
        <f t="shared" si="1"/>
        <v>0</v>
      </c>
      <c r="E96" s="268"/>
      <c r="F96" s="267"/>
    </row>
    <row r="97" spans="1:6" s="352" customFormat="1">
      <c r="A97" s="271" t="s">
        <v>774</v>
      </c>
      <c r="B97" s="270">
        <f>SUM(B84:B96)</f>
        <v>5745697</v>
      </c>
      <c r="C97" s="270">
        <f>SUM(C84:C96)</f>
        <v>5745697</v>
      </c>
      <c r="D97" s="270">
        <f t="shared" si="1"/>
        <v>0</v>
      </c>
      <c r="E97" s="268"/>
      <c r="F97" s="267"/>
    </row>
    <row r="98" spans="1:6" s="352" customFormat="1">
      <c r="A98" s="271" t="s">
        <v>775</v>
      </c>
      <c r="B98" s="270">
        <f>SUM(B64+B71+B78+B82+B97)</f>
        <v>79309645</v>
      </c>
      <c r="C98" s="270">
        <f>SUM(C64+C71+C78+C82+C97)</f>
        <v>79309645</v>
      </c>
      <c r="D98" s="270">
        <f t="shared" si="1"/>
        <v>0</v>
      </c>
      <c r="E98" s="268"/>
      <c r="F98" s="267"/>
    </row>
    <row r="99" spans="1:6" s="352" customFormat="1">
      <c r="A99" s="264" t="s">
        <v>776</v>
      </c>
      <c r="B99" s="264"/>
      <c r="C99" s="264"/>
      <c r="D99" s="264"/>
      <c r="E99" s="282"/>
      <c r="F99" s="264"/>
    </row>
    <row r="100" spans="1:6" s="352" customFormat="1">
      <c r="A100" s="145" t="s">
        <v>777</v>
      </c>
      <c r="B100" s="266">
        <f>'Sources and Uses Budget'!$C99</f>
        <v>11019480</v>
      </c>
      <c r="C100" s="266">
        <f>'Sources and Uses Budget'!$C99</f>
        <v>11019480</v>
      </c>
      <c r="D100" s="270">
        <f t="shared" si="1"/>
        <v>0</v>
      </c>
      <c r="E100" s="268"/>
      <c r="F100" s="267"/>
    </row>
    <row r="101" spans="1:6" s="352" customFormat="1">
      <c r="A101" s="283" t="s">
        <v>1645</v>
      </c>
      <c r="B101" s="266">
        <f>'Sources and Uses Budget'!$C100</f>
        <v>0</v>
      </c>
      <c r="C101" s="266">
        <f>'Sources and Uses Budget'!$C100</f>
        <v>0</v>
      </c>
      <c r="D101" s="270">
        <f t="shared" si="1"/>
        <v>0</v>
      </c>
      <c r="E101" s="268"/>
      <c r="F101" s="267"/>
    </row>
    <row r="102" spans="1:6" s="352" customFormat="1">
      <c r="A102" s="145" t="s">
        <v>778</v>
      </c>
      <c r="B102" s="266">
        <f>'Sources and Uses Budget'!$C101</f>
        <v>0</v>
      </c>
      <c r="C102" s="266">
        <f>'Sources and Uses Budget'!$C101</f>
        <v>0</v>
      </c>
      <c r="D102" s="270">
        <f t="shared" si="1"/>
        <v>0</v>
      </c>
      <c r="E102" s="268"/>
      <c r="F102" s="267"/>
    </row>
    <row r="103" spans="1:6" s="352" customFormat="1" ht="12" customHeight="1">
      <c r="A103" s="283" t="s">
        <v>1646</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c r="A105" s="271" t="s">
        <v>779</v>
      </c>
      <c r="B105" s="270">
        <f>SUM(B100:B104)</f>
        <v>11019480</v>
      </c>
      <c r="C105" s="270">
        <f>SUM(C100:C104)</f>
        <v>11019480</v>
      </c>
      <c r="D105" s="270">
        <f t="shared" si="1"/>
        <v>0</v>
      </c>
      <c r="E105" s="268"/>
      <c r="F105" s="267"/>
    </row>
    <row r="106" spans="1:6" s="352" customFormat="1">
      <c r="A106" s="271" t="s">
        <v>780</v>
      </c>
      <c r="B106" s="273">
        <f>SUM(B98+B105)</f>
        <v>90329125</v>
      </c>
      <c r="C106" s="273">
        <f>SUM(C98+C105)</f>
        <v>90329125</v>
      </c>
      <c r="D106" s="270">
        <f t="shared" si="1"/>
        <v>0</v>
      </c>
      <c r="E106" s="268"/>
      <c r="F106" s="267"/>
    </row>
    <row r="107" spans="1:6" s="352" customFormat="1">
      <c r="A107" s="277" t="s">
        <v>781</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4" customHeight="1" zeroHeight="1"/>
  <cols>
    <col min="1" max="10" width="10.7109375" style="402" customWidth="1"/>
    <col min="11" max="16384" width="8.85546875" style="402" hidden="1"/>
  </cols>
  <sheetData>
    <row r="1" spans="1:10" ht="15.75">
      <c r="A1" s="1275" t="s">
        <v>1868</v>
      </c>
      <c r="B1" s="1276"/>
      <c r="C1" s="1276"/>
      <c r="D1" s="1276"/>
      <c r="E1" s="1276"/>
      <c r="F1" s="1276"/>
      <c r="G1" s="1276"/>
      <c r="H1" s="1276"/>
      <c r="I1" s="1276"/>
      <c r="J1" s="1276"/>
    </row>
    <row r="2" spans="1:10" ht="15">
      <c r="A2" s="1279" t="s">
        <v>1267</v>
      </c>
      <c r="B2" s="1280"/>
      <c r="C2" s="1280"/>
      <c r="D2" s="1280"/>
      <c r="E2" s="1280"/>
      <c r="F2" s="1280"/>
      <c r="G2" s="1280"/>
      <c r="H2" s="1280"/>
      <c r="I2" s="1280"/>
      <c r="J2" s="1280"/>
    </row>
    <row r="3" spans="1:10" ht="12.75"/>
    <row r="4" spans="1:10" ht="12.75" customHeight="1">
      <c r="A4" s="1277" t="s">
        <v>2046</v>
      </c>
      <c r="B4" s="1277"/>
      <c r="C4" s="1277"/>
      <c r="D4" s="1277"/>
      <c r="E4" s="1277"/>
      <c r="F4" s="1277"/>
      <c r="G4" s="1277"/>
      <c r="H4" s="1277"/>
      <c r="I4" s="1277"/>
      <c r="J4" s="1277"/>
    </row>
    <row r="5" spans="1:10" ht="12.75">
      <c r="A5" s="1277"/>
      <c r="B5" s="1277"/>
      <c r="C5" s="1277"/>
      <c r="D5" s="1277"/>
      <c r="E5" s="1277"/>
      <c r="F5" s="1277"/>
      <c r="G5" s="1277"/>
      <c r="H5" s="1277"/>
      <c r="I5" s="1277"/>
      <c r="J5" s="1277"/>
    </row>
    <row r="6" spans="1:10" ht="30" customHeight="1">
      <c r="A6" s="1277"/>
      <c r="B6" s="1277"/>
      <c r="C6" s="1277"/>
      <c r="D6" s="1277"/>
      <c r="E6" s="1277"/>
      <c r="F6" s="1277"/>
      <c r="G6" s="1277"/>
      <c r="H6" s="1277"/>
      <c r="I6" s="1277"/>
      <c r="J6" s="1277"/>
    </row>
    <row r="7" spans="1:10" ht="12.75">
      <c r="A7" s="416"/>
      <c r="B7" s="416"/>
      <c r="C7" s="416"/>
      <c r="D7" s="416"/>
      <c r="E7" s="416"/>
      <c r="F7" s="416"/>
      <c r="G7" s="416"/>
      <c r="H7" s="416"/>
      <c r="I7" s="416"/>
      <c r="J7" s="416"/>
    </row>
    <row r="8" spans="1:10" ht="12.75" customHeight="1">
      <c r="A8" s="402" t="s">
        <v>1871</v>
      </c>
      <c r="B8" s="416"/>
      <c r="C8" s="416"/>
      <c r="D8" s="416"/>
      <c r="E8" s="416"/>
      <c r="F8" s="416"/>
      <c r="G8" s="416"/>
      <c r="H8" s="416"/>
      <c r="I8" s="416"/>
      <c r="J8" s="416"/>
    </row>
    <row r="9" spans="1:10" ht="12.75"/>
    <row r="10" spans="1:10" ht="12.75" customHeight="1">
      <c r="A10" s="1281" t="s">
        <v>1873</v>
      </c>
      <c r="B10" s="1281"/>
      <c r="C10" s="1281"/>
      <c r="D10" s="1281"/>
      <c r="E10" s="1281"/>
      <c r="F10" s="1281"/>
      <c r="G10" s="1281"/>
      <c r="H10" s="1281"/>
      <c r="I10" s="1281"/>
      <c r="J10" s="1281"/>
    </row>
    <row r="11" spans="1:10" ht="12.75">
      <c r="A11" s="1281"/>
      <c r="B11" s="1281"/>
      <c r="C11" s="1281"/>
      <c r="D11" s="1281"/>
      <c r="E11" s="1281"/>
      <c r="F11" s="1281"/>
      <c r="G11" s="1281"/>
      <c r="H11" s="1281"/>
      <c r="I11" s="1281"/>
      <c r="J11" s="1281"/>
    </row>
    <row r="12" spans="1:10" ht="12.75">
      <c r="A12" s="1281"/>
      <c r="B12" s="1281"/>
      <c r="C12" s="1281"/>
      <c r="D12" s="1281"/>
      <c r="E12" s="1281"/>
      <c r="F12" s="1281"/>
      <c r="G12" s="1281"/>
      <c r="H12" s="1281"/>
      <c r="I12" s="1281"/>
      <c r="J12" s="1281"/>
    </row>
    <row r="13" spans="1:10" ht="12.75">
      <c r="A13" s="1281"/>
      <c r="B13" s="1281"/>
      <c r="C13" s="1281"/>
      <c r="D13" s="1281"/>
      <c r="E13" s="1281"/>
      <c r="F13" s="1281"/>
      <c r="G13" s="1281"/>
      <c r="H13" s="1281"/>
      <c r="I13" s="1281"/>
      <c r="J13" s="1281"/>
    </row>
    <row r="14" spans="1:10" ht="12.75">
      <c r="A14" s="1281"/>
      <c r="B14" s="1281"/>
      <c r="C14" s="1281"/>
      <c r="D14" s="1281"/>
      <c r="E14" s="1281"/>
      <c r="F14" s="1281"/>
      <c r="G14" s="1281"/>
      <c r="H14" s="1281"/>
      <c r="I14" s="1281"/>
      <c r="J14" s="1281"/>
    </row>
    <row r="15" spans="1:10" ht="12.75">
      <c r="A15" s="1281"/>
      <c r="B15" s="1281"/>
      <c r="C15" s="1281"/>
      <c r="D15" s="1281"/>
      <c r="E15" s="1281"/>
      <c r="F15" s="1281"/>
      <c r="G15" s="1281"/>
      <c r="H15" s="1281"/>
      <c r="I15" s="1281"/>
      <c r="J15" s="1281"/>
    </row>
    <row r="16" spans="1:10" ht="12.75">
      <c r="A16" s="524"/>
      <c r="B16" s="524"/>
      <c r="C16" s="524"/>
      <c r="D16" s="524"/>
      <c r="E16" s="524"/>
      <c r="F16" s="524"/>
      <c r="G16" s="524"/>
      <c r="H16" s="524"/>
      <c r="I16" s="524"/>
      <c r="J16" s="524"/>
    </row>
    <row r="17" spans="1:10" ht="12.75">
      <c r="A17" s="476" t="s">
        <v>1872</v>
      </c>
      <c r="B17" s="416"/>
      <c r="C17" s="416"/>
      <c r="D17" s="416"/>
      <c r="E17" s="416"/>
      <c r="F17" s="416"/>
      <c r="G17" s="416"/>
      <c r="H17" s="416"/>
      <c r="I17" s="416"/>
      <c r="J17" s="416"/>
    </row>
    <row r="18" spans="1:10" ht="12.75">
      <c r="A18" s="416" t="s">
        <v>249</v>
      </c>
      <c r="B18" s="416"/>
      <c r="C18" s="416"/>
      <c r="D18" s="416"/>
      <c r="E18" s="416"/>
      <c r="F18" s="416"/>
      <c r="G18" s="416"/>
      <c r="H18" s="416"/>
      <c r="I18" s="416"/>
      <c r="J18" s="416"/>
    </row>
    <row r="19" spans="1:10" ht="12.75">
      <c r="A19" s="1280" t="s">
        <v>1188</v>
      </c>
      <c r="B19" s="1280"/>
      <c r="C19" s="1280"/>
      <c r="D19" s="1280"/>
      <c r="E19" s="1280"/>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77" t="s">
        <v>1189</v>
      </c>
      <c r="B56" s="1277"/>
      <c r="C56" s="1277"/>
      <c r="D56" s="1277"/>
      <c r="E56" s="1277"/>
      <c r="F56" s="1277"/>
      <c r="G56" s="1277"/>
      <c r="H56" s="1277"/>
      <c r="I56" s="1277"/>
      <c r="J56" s="1277"/>
    </row>
    <row r="57" spans="1:10" ht="12.75">
      <c r="A57" s="1277"/>
      <c r="B57" s="1277"/>
      <c r="C57" s="1277"/>
      <c r="D57" s="1277"/>
      <c r="E57" s="1277"/>
      <c r="F57" s="1277"/>
      <c r="G57" s="1277"/>
      <c r="H57" s="1277"/>
      <c r="I57" s="1277"/>
      <c r="J57" s="1277"/>
    </row>
    <row r="58" spans="1:10" ht="12.75">
      <c r="A58" s="1277"/>
      <c r="B58" s="1277"/>
      <c r="C58" s="1277"/>
      <c r="D58" s="1277"/>
      <c r="E58" s="1277"/>
      <c r="F58" s="1277"/>
      <c r="G58" s="1277"/>
      <c r="H58" s="1277"/>
      <c r="I58" s="1277"/>
      <c r="J58" s="1277"/>
    </row>
    <row r="59" spans="1:10" ht="12.75"/>
    <row r="60" spans="1:10" ht="12.75">
      <c r="A60" s="402" t="s">
        <v>1188</v>
      </c>
    </row>
    <row r="61" spans="1:10" ht="12.75"/>
    <row r="62" spans="1:10" ht="12.75"/>
    <row r="63" spans="1:10" ht="12.75"/>
    <row r="64" spans="1:10" ht="12.75"/>
    <row r="65" spans="1:9" ht="12.75"/>
    <row r="66" spans="1:9" ht="12.75"/>
    <row r="67" spans="1:9" ht="12.75"/>
    <row r="68" spans="1:9" ht="12.75"/>
    <row r="69" spans="1:9" ht="12.75"/>
    <row r="70" spans="1:9" ht="12.75"/>
    <row r="71" spans="1:9" ht="12.75">
      <c r="A71" s="1278" t="s">
        <v>1869</v>
      </c>
      <c r="B71" s="1278"/>
      <c r="C71" s="1278"/>
      <c r="D71" s="1278"/>
      <c r="E71" s="1278"/>
      <c r="F71" s="1278"/>
      <c r="G71" s="1278"/>
      <c r="H71" s="1278"/>
      <c r="I71" s="1278"/>
    </row>
    <row r="72" spans="1:9" ht="12.75">
      <c r="A72" s="1270" t="s">
        <v>2044</v>
      </c>
      <c r="B72" s="1270"/>
      <c r="C72" s="1270"/>
      <c r="D72" s="1270"/>
      <c r="E72" s="1270"/>
    </row>
    <row r="73" spans="1:9" ht="12.75">
      <c r="A73" s="1270" t="s">
        <v>2045</v>
      </c>
      <c r="B73" s="1270"/>
      <c r="C73" s="1270"/>
      <c r="D73" s="1270"/>
      <c r="E73" s="1270"/>
    </row>
    <row r="74" spans="1:9" ht="12.75">
      <c r="A74" s="1270" t="s">
        <v>1870</v>
      </c>
      <c r="B74" s="1270"/>
      <c r="C74" s="1270"/>
      <c r="D74" s="1270"/>
      <c r="E74" s="1270"/>
    </row>
    <row r="75" spans="1:9" ht="12.75"/>
    <row r="76" spans="1:9" ht="12.75"/>
    <row r="77" spans="1:9" ht="12.75"/>
    <row r="78" spans="1:9" ht="12.4" customHeight="1"/>
    <row r="79" spans="1:9" ht="12.4" customHeight="1"/>
    <row r="80" spans="1:9" ht="12.4" customHeight="1"/>
    <row r="81" ht="12.4" customHeight="1"/>
    <row r="82" ht="12.4" customHeight="1"/>
    <row r="83" ht="12.4" customHeight="1"/>
    <row r="84" ht="12.4" customHeight="1"/>
    <row r="85" ht="12.4"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9525</xdr:colOff>
                <xdr:row>77</xdr:row>
                <xdr:rowOff>95250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topLeftCell="A1065" workbookViewId="0">
      <selection activeCell="F1076" sqref="F1076"/>
    </sheetView>
  </sheetViews>
  <sheetFormatPr defaultColWidth="0" defaultRowHeight="12.75" zeroHeight="1"/>
  <cols>
    <col min="1" max="1" width="3.5703125" style="480" customWidth="1"/>
    <col min="2" max="2" width="13.5703125" style="480" customWidth="1"/>
    <col min="3" max="3" width="2.5703125" style="480" customWidth="1"/>
    <col min="4" max="5" width="3.5703125" style="402" customWidth="1"/>
    <col min="6" max="6" width="65.5703125" style="402" customWidth="1"/>
    <col min="7" max="7" width="1.5703125" style="402" customWidth="1"/>
    <col min="8" max="8" width="3.5703125" style="402" customWidth="1"/>
    <col min="9" max="9" width="9.140625" style="404" customWidth="1"/>
    <col min="10" max="10" width="8.85546875" style="402" hidden="1" customWidth="1"/>
    <col min="11" max="16384" width="8.85546875" style="402" hidden="1"/>
  </cols>
  <sheetData>
    <row r="1" spans="1:13"/>
    <row r="2" spans="1:13">
      <c r="A2" s="1332" t="s">
        <v>2457</v>
      </c>
      <c r="B2" s="1332"/>
      <c r="C2" s="1332"/>
      <c r="D2" s="1332"/>
      <c r="E2" s="1332"/>
      <c r="F2" s="1332"/>
      <c r="G2" s="1332"/>
      <c r="H2" s="1332"/>
      <c r="I2" s="1332"/>
    </row>
    <row r="3" spans="1:13">
      <c r="A3" s="1320" t="s">
        <v>2218</v>
      </c>
      <c r="B3" s="1320"/>
      <c r="C3" s="1320"/>
      <c r="D3" s="1320"/>
      <c r="E3" s="1320"/>
      <c r="F3" s="1320"/>
      <c r="G3" s="1320"/>
      <c r="H3" s="1320"/>
      <c r="I3" s="1320"/>
    </row>
    <row r="4" spans="1:13">
      <c r="A4" s="1320"/>
      <c r="B4" s="1320"/>
      <c r="C4" s="1280"/>
      <c r="D4" s="1280"/>
      <c r="E4" s="1280"/>
      <c r="F4" s="1280"/>
      <c r="G4" s="1280"/>
    </row>
    <row r="5" spans="1:13">
      <c r="A5" s="1320"/>
      <c r="B5" s="1320"/>
      <c r="C5" s="1280"/>
      <c r="D5" s="1280"/>
      <c r="E5" s="1280"/>
      <c r="F5" s="1280"/>
      <c r="G5" s="1280"/>
    </row>
    <row r="6" spans="1:13" ht="12.75" customHeight="1">
      <c r="A6" s="1323" t="s">
        <v>2217</v>
      </c>
      <c r="B6" s="1323"/>
      <c r="C6" s="1323"/>
      <c r="D6" s="1323"/>
      <c r="E6" s="1323"/>
      <c r="F6" s="1323"/>
      <c r="G6" s="1323"/>
      <c r="I6" s="490"/>
    </row>
    <row r="7" spans="1:13">
      <c r="A7" s="1323"/>
      <c r="B7" s="1323"/>
      <c r="C7" s="1323"/>
      <c r="D7" s="1323"/>
      <c r="E7" s="1323"/>
      <c r="F7" s="1323"/>
      <c r="G7" s="1323"/>
      <c r="I7" s="490"/>
    </row>
    <row r="8" spans="1:13">
      <c r="A8" s="481"/>
      <c r="B8" s="481"/>
      <c r="C8" s="482"/>
      <c r="D8" s="482"/>
      <c r="E8" s="482"/>
      <c r="F8" s="482"/>
    </row>
    <row r="9" spans="1:13">
      <c r="A9" s="1309" t="s">
        <v>1100</v>
      </c>
      <c r="B9" s="1309"/>
      <c r="C9" s="1309"/>
      <c r="D9" s="1309"/>
      <c r="E9" s="1309"/>
      <c r="F9" s="1309"/>
      <c r="G9" s="1309"/>
      <c r="H9" s="1028"/>
      <c r="I9" s="1029"/>
    </row>
    <row r="10" spans="1:13">
      <c r="A10" s="482"/>
      <c r="B10" s="482"/>
      <c r="E10" s="404"/>
    </row>
    <row r="11" spans="1:13" ht="13.7" customHeight="1">
      <c r="C11" s="482"/>
      <c r="D11" s="1322" t="s">
        <v>1099</v>
      </c>
      <c r="E11" s="1322"/>
      <c r="F11" s="1322"/>
    </row>
    <row r="12" spans="1:13">
      <c r="C12" s="482"/>
      <c r="D12" s="1322"/>
      <c r="E12" s="1322"/>
      <c r="F12" s="1322"/>
    </row>
    <row r="13" spans="1:13">
      <c r="A13" s="483"/>
      <c r="B13" s="483"/>
      <c r="C13" s="483"/>
      <c r="D13" s="1300" t="s">
        <v>1089</v>
      </c>
      <c r="E13" s="1300"/>
      <c r="F13" s="1300"/>
      <c r="M13" s="96"/>
    </row>
    <row r="14" spans="1:13">
      <c r="A14" s="483"/>
      <c r="B14" s="483"/>
      <c r="C14" s="483"/>
      <c r="D14" s="476"/>
      <c r="L14" s="312"/>
    </row>
    <row r="15" spans="1:13" ht="14.25">
      <c r="A15" s="484"/>
      <c r="B15" s="485" t="s">
        <v>2731</v>
      </c>
      <c r="C15" s="483"/>
      <c r="D15" s="1302" t="s">
        <v>1921</v>
      </c>
      <c r="E15" s="1302"/>
      <c r="F15" s="1302"/>
      <c r="I15" s="490"/>
    </row>
    <row r="16" spans="1:13">
      <c r="A16" s="483"/>
      <c r="B16" s="483"/>
      <c r="C16" s="483"/>
      <c r="D16" s="1302"/>
      <c r="E16" s="1302"/>
      <c r="F16" s="1302"/>
      <c r="I16" s="490"/>
    </row>
    <row r="17" spans="1:9">
      <c r="A17" s="483"/>
      <c r="B17" s="483"/>
      <c r="C17" s="483"/>
      <c r="D17" s="1302"/>
      <c r="E17" s="1302"/>
      <c r="F17" s="1302"/>
      <c r="I17" s="490"/>
    </row>
    <row r="18" spans="1:9">
      <c r="A18" s="483"/>
      <c r="B18" s="483"/>
      <c r="C18" s="483"/>
      <c r="D18" s="445"/>
      <c r="E18" s="312" t="s">
        <v>1919</v>
      </c>
      <c r="F18" s="445"/>
      <c r="I18" s="490"/>
    </row>
    <row r="19" spans="1:9">
      <c r="A19" s="483"/>
      <c r="B19" s="483"/>
      <c r="C19" s="483"/>
      <c r="I19" s="490"/>
    </row>
    <row r="20" spans="1:9" ht="14.25">
      <c r="A20" s="484"/>
      <c r="B20" s="485" t="s">
        <v>2731</v>
      </c>
      <c r="D20" s="1302" t="s">
        <v>1922</v>
      </c>
      <c r="E20" s="1302"/>
      <c r="F20" s="1302"/>
      <c r="I20" s="490"/>
    </row>
    <row r="21" spans="1:9" ht="14.25">
      <c r="A21" s="484"/>
      <c r="D21" s="1302"/>
      <c r="E21" s="1302"/>
      <c r="F21" s="1302"/>
      <c r="I21" s="490"/>
    </row>
    <row r="22" spans="1:9" ht="14.25">
      <c r="A22" s="484"/>
      <c r="D22" s="392"/>
      <c r="E22" s="96" t="s">
        <v>1918</v>
      </c>
      <c r="F22" s="392"/>
      <c r="I22" s="490"/>
    </row>
    <row r="23" spans="1:9" ht="14.25">
      <c r="A23" s="484"/>
      <c r="B23" s="484"/>
      <c r="D23" s="446"/>
      <c r="I23" s="490"/>
    </row>
    <row r="24" spans="1:9" ht="14.25">
      <c r="A24" s="484"/>
      <c r="B24" s="485" t="s">
        <v>2732</v>
      </c>
      <c r="D24" s="1302" t="s">
        <v>1090</v>
      </c>
      <c r="E24" s="1302"/>
      <c r="F24" s="1302"/>
      <c r="I24" s="490"/>
    </row>
    <row r="25" spans="1:9" ht="14.25">
      <c r="A25" s="484"/>
      <c r="B25" s="484"/>
      <c r="D25" s="1302"/>
      <c r="E25" s="1302"/>
      <c r="F25" s="1302"/>
      <c r="I25" s="490"/>
    </row>
    <row r="26" spans="1:9">
      <c r="I26" s="490"/>
    </row>
    <row r="27" spans="1:9" ht="14.25">
      <c r="A27" s="484"/>
      <c r="B27" s="485" t="s">
        <v>2731</v>
      </c>
      <c r="D27" s="1302" t="s">
        <v>2047</v>
      </c>
      <c r="E27" s="1302"/>
      <c r="F27" s="1302"/>
      <c r="I27" s="490"/>
    </row>
    <row r="28" spans="1:9">
      <c r="D28" s="1302"/>
      <c r="E28" s="1302"/>
      <c r="F28" s="1302"/>
      <c r="I28" s="490"/>
    </row>
    <row r="29" spans="1:9">
      <c r="D29" s="1302"/>
      <c r="E29" s="1302"/>
      <c r="F29" s="1302"/>
      <c r="I29" s="490"/>
    </row>
    <row r="30" spans="1:9">
      <c r="D30" s="1302"/>
      <c r="E30" s="1302"/>
      <c r="F30" s="1302"/>
      <c r="I30" s="490"/>
    </row>
    <row r="31" spans="1:9">
      <c r="D31" s="1302"/>
      <c r="E31" s="1302"/>
      <c r="F31" s="1302"/>
      <c r="I31" s="490"/>
    </row>
    <row r="32" spans="1:9">
      <c r="D32" s="447"/>
      <c r="I32" s="490"/>
    </row>
    <row r="33" spans="1:9">
      <c r="B33" s="485" t="s">
        <v>2732</v>
      </c>
      <c r="D33" s="1302" t="s">
        <v>2048</v>
      </c>
      <c r="E33" s="1302"/>
      <c r="F33" s="1302"/>
      <c r="I33" s="490"/>
    </row>
    <row r="34" spans="1:9">
      <c r="D34" s="1302"/>
      <c r="E34" s="1302"/>
      <c r="F34" s="1302"/>
      <c r="I34" s="490"/>
    </row>
    <row r="35" spans="1:9" ht="14.25">
      <c r="A35" s="484"/>
      <c r="B35" s="484"/>
      <c r="D35" s="447"/>
      <c r="I35" s="490"/>
    </row>
    <row r="36" spans="1:9" ht="14.45" customHeight="1">
      <c r="A36" s="484"/>
      <c r="B36" s="485" t="s">
        <v>2732</v>
      </c>
      <c r="D36" s="1302" t="s">
        <v>1213</v>
      </c>
      <c r="E36" s="1302"/>
      <c r="F36" s="1302"/>
      <c r="I36" s="490"/>
    </row>
    <row r="37" spans="1:9" ht="14.25">
      <c r="A37" s="484"/>
      <c r="B37" s="484"/>
      <c r="D37" s="1302"/>
      <c r="E37" s="1302"/>
      <c r="F37" s="1302"/>
      <c r="I37" s="490"/>
    </row>
    <row r="38" spans="1:9" ht="14.25">
      <c r="A38" s="484"/>
      <c r="B38" s="484"/>
      <c r="D38" s="1302"/>
      <c r="E38" s="1302"/>
      <c r="F38" s="1302"/>
      <c r="I38" s="490"/>
    </row>
    <row r="39" spans="1:9" ht="14.25">
      <c r="A39" s="484"/>
      <c r="B39" s="484"/>
      <c r="D39" s="1302"/>
      <c r="E39" s="1302"/>
      <c r="F39" s="1302"/>
      <c r="I39" s="490"/>
    </row>
    <row r="40" spans="1:9" ht="14.25">
      <c r="A40" s="484"/>
      <c r="B40" s="484"/>
      <c r="I40" s="490"/>
    </row>
    <row r="41" spans="1:9" ht="14.25">
      <c r="A41" s="484"/>
      <c r="B41" s="485" t="s">
        <v>2732</v>
      </c>
      <c r="D41" s="1302" t="s">
        <v>1091</v>
      </c>
      <c r="E41" s="1302"/>
      <c r="F41" s="1302"/>
      <c r="I41" s="490"/>
    </row>
    <row r="42" spans="1:9" ht="14.25">
      <c r="A42" s="484"/>
      <c r="B42" s="484"/>
      <c r="D42" s="1302"/>
      <c r="E42" s="1302"/>
      <c r="F42" s="1302"/>
      <c r="I42" s="490"/>
    </row>
    <row r="43" spans="1:9" ht="14.25">
      <c r="A43" s="484"/>
      <c r="B43" s="484"/>
      <c r="D43" s="1302"/>
      <c r="E43" s="1302"/>
      <c r="F43" s="1302"/>
      <c r="I43" s="490"/>
    </row>
    <row r="44" spans="1:9" ht="14.25">
      <c r="A44" s="484"/>
      <c r="B44" s="484"/>
      <c r="D44" s="1302"/>
      <c r="E44" s="1302"/>
      <c r="F44" s="1302"/>
      <c r="I44" s="490"/>
    </row>
    <row r="45" spans="1:9" ht="14.25">
      <c r="A45" s="484"/>
      <c r="B45" s="484"/>
      <c r="D45" s="1302"/>
      <c r="E45" s="1302"/>
      <c r="F45" s="1302"/>
      <c r="I45" s="490"/>
    </row>
    <row r="46" spans="1:9" ht="14.25">
      <c r="A46" s="484"/>
      <c r="B46" s="484"/>
      <c r="D46" s="445"/>
      <c r="E46" s="445"/>
      <c r="F46" s="445"/>
      <c r="I46" s="490"/>
    </row>
    <row r="47" spans="1:9" ht="14.25">
      <c r="A47" s="484"/>
      <c r="B47" s="485" t="s">
        <v>2732</v>
      </c>
      <c r="D47" s="1302" t="s">
        <v>1092</v>
      </c>
      <c r="E47" s="1302"/>
      <c r="F47" s="1302"/>
      <c r="I47" s="490"/>
    </row>
    <row r="48" spans="1:9" ht="14.25">
      <c r="A48" s="484"/>
      <c r="B48" s="484"/>
      <c r="D48" s="1302"/>
      <c r="E48" s="1302"/>
      <c r="F48" s="1302"/>
      <c r="I48" s="490"/>
    </row>
    <row r="49" spans="1:9" ht="14.25">
      <c r="A49" s="484"/>
      <c r="B49" s="484"/>
      <c r="D49" s="1302"/>
      <c r="E49" s="1302"/>
      <c r="F49" s="1302"/>
      <c r="I49" s="490"/>
    </row>
    <row r="50" spans="1:9" ht="23.25" customHeight="1">
      <c r="A50" s="484"/>
      <c r="B50" s="484"/>
      <c r="D50" s="1302"/>
      <c r="E50" s="1302"/>
      <c r="F50" s="1302"/>
      <c r="I50" s="490"/>
    </row>
    <row r="51" spans="1:9" ht="14.25">
      <c r="A51" s="484"/>
      <c r="B51" s="484"/>
      <c r="D51" s="446"/>
      <c r="I51" s="490"/>
    </row>
    <row r="52" spans="1:9" ht="14.45" customHeight="1">
      <c r="A52" s="484"/>
      <c r="B52" s="485" t="s">
        <v>2732</v>
      </c>
      <c r="D52" s="1302" t="s">
        <v>1093</v>
      </c>
      <c r="E52" s="1302"/>
      <c r="F52" s="1302"/>
      <c r="I52" s="490"/>
    </row>
    <row r="53" spans="1:9" ht="14.25">
      <c r="A53" s="484"/>
      <c r="B53" s="484"/>
      <c r="D53" s="1302"/>
      <c r="E53" s="1302"/>
      <c r="F53" s="1302"/>
      <c r="I53" s="490"/>
    </row>
    <row r="54" spans="1:9" ht="14.25">
      <c r="A54" s="484"/>
      <c r="B54" s="484"/>
      <c r="D54" s="1302"/>
      <c r="E54" s="1302"/>
      <c r="F54" s="1302"/>
      <c r="I54" s="490"/>
    </row>
    <row r="55" spans="1:9" ht="14.25">
      <c r="A55" s="484"/>
      <c r="B55" s="484"/>
      <c r="I55" s="490"/>
    </row>
    <row r="56" spans="1:9" ht="14.25">
      <c r="A56" s="484"/>
      <c r="B56" s="485" t="s">
        <v>2731</v>
      </c>
      <c r="D56" s="1325" t="s">
        <v>1094</v>
      </c>
      <c r="E56" s="1325"/>
      <c r="F56" s="1325"/>
      <c r="I56" s="490"/>
    </row>
    <row r="57" spans="1:9" ht="14.25">
      <c r="A57" s="484"/>
      <c r="B57" s="484"/>
      <c r="D57" s="1325"/>
      <c r="E57" s="1325"/>
      <c r="F57" s="1325"/>
      <c r="I57" s="490"/>
    </row>
    <row r="58" spans="1:9" ht="14.25">
      <c r="A58" s="484"/>
      <c r="B58" s="484"/>
      <c r="D58" s="392" t="s">
        <v>1920</v>
      </c>
      <c r="E58" s="445"/>
      <c r="F58" s="445"/>
      <c r="I58" s="490"/>
    </row>
    <row r="59" spans="1:9" ht="14.25">
      <c r="A59" s="484"/>
      <c r="B59" s="484"/>
      <c r="D59" s="445"/>
      <c r="E59" s="312" t="s">
        <v>1919</v>
      </c>
      <c r="F59" s="445"/>
      <c r="I59" s="490"/>
    </row>
    <row r="60" spans="1:9">
      <c r="D60" s="447"/>
      <c r="I60" s="490"/>
    </row>
    <row r="61" spans="1:9" ht="14.25">
      <c r="A61" s="484"/>
      <c r="B61" s="485" t="s">
        <v>2731</v>
      </c>
      <c r="D61" s="1302" t="s">
        <v>1095</v>
      </c>
      <c r="E61" s="1302"/>
      <c r="F61" s="1302"/>
      <c r="I61" s="490"/>
    </row>
    <row r="62" spans="1:9">
      <c r="D62" s="1302"/>
      <c r="E62" s="1302"/>
      <c r="F62" s="1302"/>
      <c r="I62" s="490"/>
    </row>
    <row r="63" spans="1:9">
      <c r="D63" s="1302"/>
      <c r="E63" s="1302"/>
      <c r="F63" s="1302"/>
      <c r="I63" s="490"/>
    </row>
    <row r="64" spans="1:9">
      <c r="I64" s="490"/>
    </row>
    <row r="65" spans="1:9" ht="14.25">
      <c r="A65" s="484"/>
      <c r="B65" s="485" t="s">
        <v>2732</v>
      </c>
      <c r="D65" s="1302" t="s">
        <v>1096</v>
      </c>
      <c r="E65" s="1302"/>
      <c r="F65" s="1302"/>
      <c r="I65" s="490"/>
    </row>
    <row r="66" spans="1:9">
      <c r="D66" s="1302"/>
      <c r="E66" s="1302"/>
      <c r="F66" s="1302"/>
      <c r="I66" s="490"/>
    </row>
    <row r="67" spans="1:9">
      <c r="I67" s="490"/>
    </row>
    <row r="68" spans="1:9" ht="14.25">
      <c r="A68" s="484"/>
      <c r="B68" s="485" t="s">
        <v>2732</v>
      </c>
      <c r="D68" s="1302" t="s">
        <v>1097</v>
      </c>
      <c r="E68" s="1302"/>
      <c r="F68" s="1302"/>
      <c r="I68" s="490"/>
    </row>
    <row r="69" spans="1:9">
      <c r="D69" s="1302"/>
      <c r="E69" s="1302"/>
      <c r="F69" s="1302"/>
      <c r="I69" s="490"/>
    </row>
    <row r="70" spans="1:9">
      <c r="D70" s="1302"/>
      <c r="E70" s="1302"/>
      <c r="F70" s="1302"/>
      <c r="I70" s="490"/>
    </row>
    <row r="71" spans="1:9">
      <c r="I71" s="490"/>
    </row>
    <row r="72" spans="1:9" ht="14.25">
      <c r="A72" s="484"/>
      <c r="B72" s="485" t="s">
        <v>2731</v>
      </c>
      <c r="D72" s="1302" t="s">
        <v>1098</v>
      </c>
      <c r="E72" s="1302"/>
      <c r="F72" s="1302"/>
      <c r="I72" s="490"/>
    </row>
    <row r="73" spans="1:9">
      <c r="D73" s="1302"/>
      <c r="E73" s="1302"/>
      <c r="F73" s="1302"/>
      <c r="I73" s="490"/>
    </row>
    <row r="74" spans="1:9" ht="14.25">
      <c r="A74" s="484"/>
      <c r="B74" s="484"/>
      <c r="D74" s="446"/>
      <c r="I74" s="490"/>
    </row>
    <row r="75" spans="1:9">
      <c r="A75" s="1309" t="s">
        <v>1043</v>
      </c>
      <c r="B75" s="1309"/>
      <c r="C75" s="1309"/>
      <c r="D75" s="1309"/>
      <c r="E75" s="1309"/>
      <c r="F75" s="1309"/>
      <c r="G75" s="1309"/>
      <c r="H75" s="1028"/>
      <c r="I75" s="1153"/>
    </row>
    <row r="76" spans="1:9">
      <c r="I76" s="490"/>
    </row>
    <row r="77" spans="1:9">
      <c r="C77" s="486"/>
      <c r="D77" s="1318" t="s">
        <v>1101</v>
      </c>
      <c r="E77" s="1318"/>
      <c r="F77" s="1318"/>
      <c r="I77" s="490"/>
    </row>
    <row r="78" spans="1:9">
      <c r="A78" s="446"/>
      <c r="B78" s="446"/>
      <c r="D78" s="1302" t="s">
        <v>1116</v>
      </c>
      <c r="E78" s="1302"/>
      <c r="F78" s="1302"/>
      <c r="I78" s="490"/>
    </row>
    <row r="79" spans="1:9">
      <c r="A79" s="446"/>
      <c r="B79" s="446"/>
      <c r="I79" s="490"/>
    </row>
    <row r="80" spans="1:9" ht="13.7" customHeight="1">
      <c r="A80" s="484"/>
      <c r="B80" s="485" t="s">
        <v>2731</v>
      </c>
      <c r="D80" s="1302" t="s">
        <v>1244</v>
      </c>
      <c r="E80" s="1302"/>
      <c r="F80" s="1302"/>
      <c r="I80" s="490"/>
    </row>
    <row r="81" spans="1:9" ht="14.25">
      <c r="A81" s="484"/>
      <c r="B81" s="484"/>
      <c r="D81" s="1302"/>
      <c r="E81" s="1302"/>
      <c r="F81" s="1302"/>
      <c r="I81" s="490"/>
    </row>
    <row r="82" spans="1:9" ht="14.25">
      <c r="A82" s="484"/>
      <c r="B82" s="484"/>
      <c r="D82" s="1302"/>
      <c r="E82" s="1302"/>
      <c r="F82" s="1302"/>
      <c r="I82" s="490"/>
    </row>
    <row r="83" spans="1:9" ht="14.25">
      <c r="A83" s="484"/>
      <c r="B83" s="484"/>
      <c r="D83" s="1302"/>
      <c r="E83" s="1302"/>
      <c r="F83" s="1302"/>
      <c r="I83" s="490"/>
    </row>
    <row r="84" spans="1:9" ht="14.25">
      <c r="A84" s="484"/>
      <c r="B84" s="484"/>
      <c r="D84" s="1302"/>
      <c r="E84" s="1302"/>
      <c r="F84" s="1302"/>
      <c r="I84" s="490"/>
    </row>
    <row r="85" spans="1:9" ht="14.25">
      <c r="A85" s="484"/>
      <c r="B85" s="484"/>
      <c r="D85" s="1302"/>
      <c r="E85" s="1302"/>
      <c r="F85" s="1302"/>
      <c r="I85" s="490"/>
    </row>
    <row r="86" spans="1:9" ht="14.25">
      <c r="A86" s="484"/>
      <c r="B86" s="484"/>
      <c r="D86" s="1302"/>
      <c r="E86" s="1302"/>
      <c r="F86" s="1302"/>
      <c r="I86" s="490"/>
    </row>
    <row r="87" spans="1:9" ht="14.25">
      <c r="A87" s="484"/>
      <c r="B87" s="484"/>
      <c r="D87" s="1302"/>
      <c r="E87" s="1302"/>
      <c r="F87" s="1302"/>
      <c r="I87" s="490"/>
    </row>
    <row r="88" spans="1:9" ht="14.25">
      <c r="A88" s="484"/>
      <c r="B88" s="484"/>
      <c r="D88" s="385"/>
      <c r="E88" s="385"/>
      <c r="F88" s="385"/>
      <c r="I88" s="490"/>
    </row>
    <row r="89" spans="1:9" ht="15" customHeight="1">
      <c r="A89" s="484"/>
      <c r="B89" s="485" t="s">
        <v>2731</v>
      </c>
      <c r="D89" s="1302" t="s">
        <v>1741</v>
      </c>
      <c r="E89" s="1302"/>
      <c r="F89" s="1302"/>
      <c r="I89" s="490"/>
    </row>
    <row r="90" spans="1:9" ht="14.25">
      <c r="A90" s="484"/>
      <c r="B90" s="484"/>
      <c r="D90" s="1302"/>
      <c r="E90" s="1302"/>
      <c r="F90" s="1302"/>
      <c r="I90" s="490"/>
    </row>
    <row r="91" spans="1:9" ht="14.25">
      <c r="A91" s="484"/>
      <c r="B91" s="484"/>
      <c r="D91" s="445"/>
      <c r="E91" s="445"/>
      <c r="F91" s="445"/>
      <c r="I91" s="490"/>
    </row>
    <row r="92" spans="1:9" ht="14.25">
      <c r="A92" s="484"/>
      <c r="B92" s="485" t="s">
        <v>2731</v>
      </c>
      <c r="D92" s="1302" t="s">
        <v>1744</v>
      </c>
      <c r="E92" s="1302"/>
      <c r="F92" s="1302"/>
      <c r="I92" s="490"/>
    </row>
    <row r="93" spans="1:9" ht="14.25">
      <c r="A93" s="484"/>
      <c r="B93" s="484"/>
      <c r="D93" s="1302"/>
      <c r="E93" s="1302"/>
      <c r="F93" s="1302"/>
      <c r="I93" s="490"/>
    </row>
    <row r="94" spans="1:9" ht="14.25">
      <c r="A94" s="484"/>
      <c r="B94" s="484"/>
      <c r="D94" s="1302"/>
      <c r="E94" s="1302"/>
      <c r="F94" s="1302"/>
      <c r="I94" s="490"/>
    </row>
    <row r="95" spans="1:9" ht="14.25">
      <c r="A95" s="484"/>
      <c r="B95" s="484"/>
      <c r="D95" s="445"/>
      <c r="E95" s="445"/>
      <c r="F95" s="445"/>
      <c r="I95" s="490"/>
    </row>
    <row r="96" spans="1:9" ht="14.25">
      <c r="A96" s="484"/>
      <c r="B96" s="485" t="s">
        <v>2731</v>
      </c>
      <c r="D96" s="1302" t="s">
        <v>1743</v>
      </c>
      <c r="E96" s="1302"/>
      <c r="F96" s="1302"/>
      <c r="I96" s="490"/>
    </row>
    <row r="97" spans="1:9" s="987" customFormat="1" ht="14.25">
      <c r="A97" s="985"/>
      <c r="B97" s="985"/>
      <c r="C97" s="986"/>
      <c r="D97" s="1302"/>
      <c r="E97" s="1302"/>
      <c r="F97" s="1302"/>
      <c r="I97" s="1154"/>
    </row>
    <row r="98" spans="1:9" ht="14.25">
      <c r="A98" s="484"/>
      <c r="B98" s="484"/>
      <c r="D98" s="392"/>
      <c r="E98" s="312" t="s">
        <v>1923</v>
      </c>
      <c r="F98" s="445"/>
      <c r="I98" s="490"/>
    </row>
    <row r="99" spans="1:9" ht="14.25">
      <c r="A99" s="484"/>
      <c r="B99" s="484"/>
      <c r="D99" s="385"/>
      <c r="E99" s="385"/>
      <c r="F99" s="385"/>
      <c r="I99" s="490"/>
    </row>
    <row r="100" spans="1:9" ht="14.25">
      <c r="A100" s="484"/>
      <c r="B100" s="485" t="s">
        <v>2732</v>
      </c>
      <c r="D100" s="1302" t="s">
        <v>1742</v>
      </c>
      <c r="E100" s="1302"/>
      <c r="F100" s="1302"/>
      <c r="I100" s="490"/>
    </row>
    <row r="101" spans="1:9" ht="14.25">
      <c r="A101" s="484"/>
      <c r="B101" s="484"/>
      <c r="D101" s="1302"/>
      <c r="E101" s="1302"/>
      <c r="F101" s="1302"/>
      <c r="I101" s="490"/>
    </row>
    <row r="102" spans="1:9" ht="14.25">
      <c r="A102" s="484"/>
      <c r="B102" s="484"/>
      <c r="D102" s="445"/>
      <c r="E102" s="445"/>
      <c r="F102" s="445"/>
      <c r="I102" s="490"/>
    </row>
    <row r="103" spans="1:9" ht="14.45" customHeight="1">
      <c r="A103" s="484"/>
      <c r="B103" s="485" t="s">
        <v>2732</v>
      </c>
      <c r="D103" s="1302" t="s">
        <v>1193</v>
      </c>
      <c r="E103" s="1302"/>
      <c r="F103" s="1302"/>
      <c r="I103" s="490"/>
    </row>
    <row r="104" spans="1:9" ht="14.25">
      <c r="A104" s="484"/>
      <c r="B104" s="484"/>
      <c r="D104" s="1302"/>
      <c r="E104" s="1302"/>
      <c r="F104" s="1302"/>
      <c r="I104" s="490"/>
    </row>
    <row r="105" spans="1:9" ht="14.25">
      <c r="A105" s="484"/>
      <c r="B105" s="484"/>
      <c r="D105" s="1302"/>
      <c r="E105" s="1302"/>
      <c r="F105" s="1302"/>
      <c r="I105" s="490"/>
    </row>
    <row r="106" spans="1:9" ht="14.25">
      <c r="A106" s="484"/>
      <c r="B106" s="484"/>
      <c r="D106" s="1302"/>
      <c r="E106" s="1302"/>
      <c r="F106" s="1302"/>
      <c r="I106" s="490"/>
    </row>
    <row r="107" spans="1:9" ht="14.25">
      <c r="A107" s="484"/>
      <c r="B107" s="484"/>
      <c r="D107" s="1302"/>
      <c r="E107" s="1302"/>
      <c r="F107" s="1302"/>
      <c r="I107" s="490"/>
    </row>
    <row r="108" spans="1:9" ht="14.25">
      <c r="A108" s="484"/>
      <c r="B108" s="484"/>
      <c r="D108" s="1302"/>
      <c r="E108" s="1302"/>
      <c r="F108" s="1302"/>
      <c r="I108" s="490"/>
    </row>
    <row r="109" spans="1:9" ht="14.25">
      <c r="A109" s="484"/>
      <c r="B109" s="484"/>
      <c r="D109" s="1302"/>
      <c r="E109" s="1302"/>
      <c r="F109" s="1302"/>
      <c r="I109" s="490"/>
    </row>
    <row r="110" spans="1:9" ht="14.25">
      <c r="A110" s="484"/>
      <c r="B110" s="484"/>
      <c r="D110" s="1302"/>
      <c r="E110" s="1302"/>
      <c r="F110" s="1302"/>
      <c r="I110" s="490"/>
    </row>
    <row r="111" spans="1:9" ht="14.25">
      <c r="A111" s="484"/>
      <c r="B111" s="484"/>
      <c r="D111" s="1302"/>
      <c r="E111" s="1302"/>
      <c r="F111" s="1302"/>
      <c r="I111" s="490"/>
    </row>
    <row r="112" spans="1:9" ht="14.25">
      <c r="A112" s="484"/>
      <c r="B112" s="484"/>
      <c r="D112" s="1302"/>
      <c r="E112" s="1302"/>
      <c r="F112" s="1302"/>
      <c r="I112" s="490"/>
    </row>
    <row r="113" spans="1:9" ht="14.25">
      <c r="A113" s="484"/>
      <c r="B113" s="484"/>
      <c r="D113" s="1302"/>
      <c r="E113" s="1302"/>
      <c r="F113" s="1302"/>
      <c r="I113" s="490"/>
    </row>
    <row r="114" spans="1:9" ht="14.25">
      <c r="A114" s="484"/>
      <c r="B114" s="484"/>
      <c r="D114" s="1302"/>
      <c r="E114" s="1302"/>
      <c r="F114" s="1302"/>
      <c r="I114" s="490"/>
    </row>
    <row r="115" spans="1:9" ht="14.25">
      <c r="A115" s="484"/>
      <c r="B115" s="484"/>
      <c r="D115" s="1302"/>
      <c r="E115" s="1302"/>
      <c r="F115" s="1302"/>
      <c r="I115" s="490"/>
    </row>
    <row r="116" spans="1:9" ht="14.25">
      <c r="A116" s="484"/>
      <c r="B116" s="484"/>
      <c r="D116" s="1302"/>
      <c r="E116" s="1302"/>
      <c r="F116" s="1302"/>
      <c r="I116" s="490"/>
    </row>
    <row r="117" spans="1:9" ht="14.25">
      <c r="A117" s="484"/>
      <c r="B117" s="484"/>
      <c r="D117" s="1302"/>
      <c r="E117" s="1302"/>
      <c r="F117" s="1302"/>
      <c r="I117" s="490"/>
    </row>
    <row r="118" spans="1:9" ht="14.25">
      <c r="A118" s="484"/>
      <c r="B118" s="484"/>
      <c r="D118" s="524"/>
      <c r="E118" s="524"/>
      <c r="F118" s="524"/>
      <c r="I118" s="490"/>
    </row>
    <row r="119" spans="1:9" ht="14.25" customHeight="1">
      <c r="A119" s="484"/>
      <c r="B119" s="485" t="s">
        <v>2732</v>
      </c>
      <c r="D119" s="1324" t="s">
        <v>1102</v>
      </c>
      <c r="E119" s="1324"/>
      <c r="F119" s="1324"/>
      <c r="I119" s="490"/>
    </row>
    <row r="120" spans="1:9" ht="14.25">
      <c r="A120" s="484"/>
      <c r="B120" s="484"/>
      <c r="D120" s="1324"/>
      <c r="E120" s="1324"/>
      <c r="F120" s="1324"/>
      <c r="I120" s="490"/>
    </row>
    <row r="121" spans="1:9" ht="14.25">
      <c r="A121" s="484"/>
      <c r="B121" s="484"/>
      <c r="D121" s="1324"/>
      <c r="E121" s="1324"/>
      <c r="F121" s="1324"/>
      <c r="I121" s="490"/>
    </row>
    <row r="122" spans="1:9" ht="14.25">
      <c r="A122" s="484"/>
      <c r="B122" s="484"/>
      <c r="D122" s="1324"/>
      <c r="E122" s="1324"/>
      <c r="F122" s="1324"/>
      <c r="I122" s="490"/>
    </row>
    <row r="123" spans="1:9" ht="14.25">
      <c r="A123" s="484"/>
      <c r="B123" s="484"/>
      <c r="D123" s="1324"/>
      <c r="E123" s="1324"/>
      <c r="F123" s="1324"/>
      <c r="I123" s="490"/>
    </row>
    <row r="124" spans="1:9" ht="14.25">
      <c r="A124" s="484"/>
      <c r="B124" s="484"/>
      <c r="D124" s="1324"/>
      <c r="E124" s="1324"/>
      <c r="F124" s="1324"/>
      <c r="I124" s="490"/>
    </row>
    <row r="125" spans="1:9" ht="14.25">
      <c r="A125" s="484"/>
      <c r="B125" s="484"/>
      <c r="D125" s="1324"/>
      <c r="E125" s="1324"/>
      <c r="F125" s="1324"/>
      <c r="I125" s="490"/>
    </row>
    <row r="126" spans="1:9" ht="14.25">
      <c r="A126" s="484"/>
      <c r="B126" s="484"/>
      <c r="D126" s="1324"/>
      <c r="E126" s="1324"/>
      <c r="F126" s="1324"/>
      <c r="I126" s="490"/>
    </row>
    <row r="127" spans="1:9">
      <c r="C127" s="402"/>
      <c r="D127" s="525"/>
      <c r="E127" s="525"/>
      <c r="F127" s="525"/>
      <c r="I127" s="490"/>
    </row>
    <row r="128" spans="1:9" ht="14.25">
      <c r="A128" s="484"/>
      <c r="B128" s="485" t="s">
        <v>2731</v>
      </c>
      <c r="C128" s="402"/>
      <c r="D128" s="1324" t="s">
        <v>2049</v>
      </c>
      <c r="E128" s="1324"/>
      <c r="F128" s="1324"/>
      <c r="I128" s="490"/>
    </row>
    <row r="129" spans="1:9" ht="14.25">
      <c r="A129" s="484"/>
      <c r="B129" s="484"/>
      <c r="C129" s="402"/>
      <c r="D129" s="1324"/>
      <c r="E129" s="1324"/>
      <c r="F129" s="1324"/>
      <c r="I129" s="490"/>
    </row>
    <row r="130" spans="1:9">
      <c r="I130" s="490"/>
    </row>
    <row r="131" spans="1:9" ht="14.25">
      <c r="A131" s="484"/>
      <c r="B131" s="485" t="s">
        <v>2731</v>
      </c>
      <c r="D131" s="1302" t="s">
        <v>1103</v>
      </c>
      <c r="E131" s="1302"/>
      <c r="F131" s="1302"/>
      <c r="I131" s="490"/>
    </row>
    <row r="132" spans="1:9">
      <c r="D132" s="1302"/>
      <c r="E132" s="1302"/>
      <c r="F132" s="1302"/>
      <c r="I132" s="490"/>
    </row>
    <row r="133" spans="1:9">
      <c r="D133" s="1302"/>
      <c r="E133" s="1302"/>
      <c r="F133" s="1302"/>
      <c r="I133" s="490"/>
    </row>
    <row r="134" spans="1:9">
      <c r="D134" s="1302"/>
      <c r="E134" s="1302"/>
      <c r="F134" s="1302"/>
      <c r="I134" s="490"/>
    </row>
    <row r="135" spans="1:9">
      <c r="D135" s="1302"/>
      <c r="E135" s="1302"/>
      <c r="F135" s="1302"/>
      <c r="I135" s="490"/>
    </row>
    <row r="136" spans="1:9">
      <c r="I136" s="490"/>
    </row>
    <row r="137" spans="1:9" ht="14.25">
      <c r="A137" s="484"/>
      <c r="B137" s="485" t="s">
        <v>2732</v>
      </c>
      <c r="D137" s="1302" t="s">
        <v>1104</v>
      </c>
      <c r="E137" s="1302"/>
      <c r="F137" s="1302"/>
      <c r="I137" s="490"/>
    </row>
    <row r="138" spans="1:9" s="417" customFormat="1" ht="13.7" customHeight="1">
      <c r="A138" s="488"/>
      <c r="B138" s="488"/>
      <c r="C138" s="488"/>
      <c r="D138" s="1302"/>
      <c r="E138" s="1302"/>
      <c r="F138" s="1302"/>
      <c r="I138" s="1155"/>
    </row>
    <row r="139" spans="1:9" ht="13.7" customHeight="1">
      <c r="D139" s="1302"/>
      <c r="E139" s="1302"/>
      <c r="F139" s="1302"/>
      <c r="I139" s="490"/>
    </row>
    <row r="140" spans="1:9" ht="13.7" customHeight="1">
      <c r="D140" s="1302"/>
      <c r="E140" s="1302"/>
      <c r="F140" s="1302"/>
      <c r="I140" s="490"/>
    </row>
    <row r="141" spans="1:9" ht="13.7" customHeight="1">
      <c r="D141" s="1302"/>
      <c r="E141" s="1302"/>
      <c r="F141" s="1302"/>
      <c r="I141" s="490"/>
    </row>
    <row r="142" spans="1:9" ht="13.7" customHeight="1">
      <c r="A142" s="489"/>
      <c r="B142" s="489"/>
      <c r="D142" s="1302"/>
      <c r="E142" s="1302"/>
      <c r="F142" s="1302"/>
      <c r="I142" s="490"/>
    </row>
    <row r="143" spans="1:9" ht="13.7" customHeight="1">
      <c r="D143" s="1302"/>
      <c r="E143" s="1302"/>
      <c r="F143" s="1302"/>
      <c r="I143" s="490"/>
    </row>
    <row r="144" spans="1:9" ht="13.7" customHeight="1">
      <c r="D144" s="1302"/>
      <c r="E144" s="1302"/>
      <c r="F144" s="1302"/>
      <c r="I144" s="490"/>
    </row>
    <row r="145" spans="2:9" ht="13.7" customHeight="1">
      <c r="D145" s="1302"/>
      <c r="E145" s="1302"/>
      <c r="F145" s="1302"/>
      <c r="I145" s="490"/>
    </row>
    <row r="146" spans="2:9" ht="13.7" customHeight="1">
      <c r="D146" s="1302"/>
      <c r="E146" s="1302"/>
      <c r="F146" s="1302"/>
      <c r="I146" s="490"/>
    </row>
    <row r="147" spans="2:9" ht="13.7" customHeight="1">
      <c r="D147" s="1302"/>
      <c r="E147" s="1302"/>
      <c r="F147" s="1302"/>
      <c r="I147" s="490"/>
    </row>
    <row r="148" spans="2:9" ht="13.7" customHeight="1">
      <c r="D148" s="1302"/>
      <c r="E148" s="1302"/>
      <c r="F148" s="1302"/>
      <c r="I148" s="490"/>
    </row>
    <row r="149" spans="2:9" ht="13.7" customHeight="1">
      <c r="D149" s="1302"/>
      <c r="E149" s="1302"/>
      <c r="F149" s="1302"/>
      <c r="I149" s="490"/>
    </row>
    <row r="150" spans="2:9" ht="13.7" customHeight="1">
      <c r="D150" s="476"/>
      <c r="E150" s="446"/>
      <c r="F150" s="446"/>
      <c r="I150" s="490"/>
    </row>
    <row r="151" spans="2:9" ht="13.7" customHeight="1">
      <c r="B151" s="485" t="s">
        <v>2732</v>
      </c>
      <c r="D151" s="1302" t="s">
        <v>1176</v>
      </c>
      <c r="E151" s="1302"/>
      <c r="F151" s="1302"/>
      <c r="I151" s="490"/>
    </row>
    <row r="152" spans="2:9" ht="13.7" customHeight="1">
      <c r="D152" s="1302"/>
      <c r="E152" s="1302"/>
      <c r="F152" s="1302"/>
      <c r="I152" s="490"/>
    </row>
    <row r="153" spans="2:9" ht="13.7" customHeight="1">
      <c r="D153" s="1302"/>
      <c r="E153" s="1302"/>
      <c r="F153" s="1302"/>
      <c r="I153" s="490"/>
    </row>
    <row r="154" spans="2:9" ht="13.7" customHeight="1">
      <c r="D154" s="1302"/>
      <c r="E154" s="1302"/>
      <c r="F154" s="1302"/>
      <c r="I154" s="490"/>
    </row>
    <row r="155" spans="2:9" ht="13.7" customHeight="1">
      <c r="D155" s="1302"/>
      <c r="E155" s="1302"/>
      <c r="F155" s="1302"/>
      <c r="I155" s="490"/>
    </row>
    <row r="156" spans="2:9" ht="13.7" customHeight="1">
      <c r="D156" s="1302"/>
      <c r="E156" s="1302"/>
      <c r="F156" s="1302"/>
      <c r="I156" s="490"/>
    </row>
    <row r="157" spans="2:9" ht="13.7" customHeight="1">
      <c r="D157" s="1302"/>
      <c r="E157" s="1302"/>
      <c r="F157" s="1302"/>
      <c r="I157" s="490"/>
    </row>
    <row r="158" spans="2:9" ht="13.7" customHeight="1">
      <c r="D158" s="1302"/>
      <c r="E158" s="1302"/>
      <c r="F158" s="1302"/>
      <c r="I158" s="490"/>
    </row>
    <row r="159" spans="2:9" ht="13.7" customHeight="1">
      <c r="D159" s="1302"/>
      <c r="E159" s="1302"/>
      <c r="F159" s="1302"/>
      <c r="I159" s="490"/>
    </row>
    <row r="160" spans="2:9" ht="13.7" customHeight="1">
      <c r="D160" s="1302"/>
      <c r="E160" s="1302"/>
      <c r="F160" s="1302"/>
      <c r="I160" s="490"/>
    </row>
    <row r="161" spans="1:9" ht="13.7" customHeight="1">
      <c r="D161" s="1302"/>
      <c r="E161" s="1302"/>
      <c r="F161" s="1302"/>
      <c r="I161" s="490"/>
    </row>
    <row r="162" spans="1:9" ht="13.7" customHeight="1">
      <c r="D162" s="1302"/>
      <c r="E162" s="1302"/>
      <c r="F162" s="1302"/>
      <c r="I162" s="490"/>
    </row>
    <row r="163" spans="1:9" ht="13.7" customHeight="1">
      <c r="D163" s="1302"/>
      <c r="E163" s="1302"/>
      <c r="F163" s="1302"/>
      <c r="I163" s="490"/>
    </row>
    <row r="164" spans="1:9" ht="13.7" customHeight="1">
      <c r="D164" s="1302"/>
      <c r="E164" s="1302"/>
      <c r="F164" s="1302"/>
      <c r="I164" s="490"/>
    </row>
    <row r="165" spans="1:9" ht="13.7" customHeight="1">
      <c r="D165" s="1302"/>
      <c r="E165" s="1302"/>
      <c r="F165" s="1302"/>
      <c r="I165" s="490"/>
    </row>
    <row r="166" spans="1:9" ht="13.7" customHeight="1">
      <c r="D166" s="1302"/>
      <c r="E166" s="1302"/>
      <c r="F166" s="1302"/>
      <c r="I166" s="490"/>
    </row>
    <row r="167" spans="1:9" ht="13.7" customHeight="1">
      <c r="D167" s="1302"/>
      <c r="E167" s="1302"/>
      <c r="F167" s="1302"/>
      <c r="I167" s="490"/>
    </row>
    <row r="168" spans="1:9" ht="13.7" customHeight="1">
      <c r="D168" s="1302"/>
      <c r="E168" s="1302"/>
      <c r="F168" s="1302"/>
      <c r="I168" s="490"/>
    </row>
    <row r="169" spans="1:9" ht="13.7" customHeight="1">
      <c r="D169" s="1321" t="s">
        <v>2072</v>
      </c>
      <c r="E169" s="1321"/>
      <c r="F169" s="1321"/>
      <c r="G169" s="507"/>
      <c r="I169" s="490"/>
    </row>
    <row r="170" spans="1:9" ht="13.7" customHeight="1">
      <c r="D170" s="1319"/>
      <c r="E170" s="1319"/>
      <c r="F170" s="1319"/>
      <c r="G170" s="1319"/>
      <c r="I170" s="490"/>
    </row>
    <row r="171" spans="1:9" ht="14.45" customHeight="1">
      <c r="A171" s="489"/>
      <c r="B171" s="485" t="s">
        <v>2732</v>
      </c>
      <c r="C171" s="476"/>
      <c r="D171" s="1273" t="s">
        <v>2212</v>
      </c>
      <c r="E171" s="1273"/>
      <c r="F171" s="1273"/>
      <c r="G171" s="476"/>
      <c r="I171" s="490"/>
    </row>
    <row r="172" spans="1:9" ht="14.45" customHeight="1">
      <c r="A172" s="489"/>
      <c r="B172" s="489"/>
      <c r="C172" s="476"/>
      <c r="D172" s="1273"/>
      <c r="E172" s="1273"/>
      <c r="F172" s="1273"/>
      <c r="G172" s="476"/>
      <c r="I172" s="490"/>
    </row>
    <row r="173" spans="1:9" ht="14.45" customHeight="1">
      <c r="A173" s="489"/>
      <c r="B173" s="489"/>
      <c r="C173" s="476"/>
      <c r="D173" s="1273"/>
      <c r="E173" s="1273"/>
      <c r="F173" s="1273"/>
      <c r="G173" s="476"/>
      <c r="I173" s="490"/>
    </row>
    <row r="174" spans="1:9" ht="14.45" customHeight="1">
      <c r="A174" s="489"/>
      <c r="B174" s="489"/>
      <c r="C174" s="476"/>
      <c r="D174" s="1273"/>
      <c r="E174" s="1273"/>
      <c r="F174" s="1273"/>
      <c r="G174" s="476"/>
      <c r="I174" s="490"/>
    </row>
    <row r="175" spans="1:9" ht="13.7" customHeight="1">
      <c r="A175" s="489"/>
      <c r="B175" s="489"/>
      <c r="C175" s="476"/>
      <c r="D175" s="1273"/>
      <c r="E175" s="1273"/>
      <c r="F175" s="1273"/>
      <c r="G175" s="476"/>
      <c r="I175" s="490"/>
    </row>
    <row r="176" spans="1:9" ht="13.7" customHeight="1">
      <c r="A176" s="489"/>
      <c r="B176" s="489"/>
      <c r="C176" s="476"/>
      <c r="D176" s="476"/>
      <c r="E176" s="476"/>
      <c r="F176" s="476"/>
      <c r="G176" s="476"/>
      <c r="I176" s="490"/>
    </row>
    <row r="177" spans="1:9" ht="13.7" customHeight="1">
      <c r="A177" s="489"/>
      <c r="B177" s="485" t="s">
        <v>2732</v>
      </c>
      <c r="C177" s="476"/>
      <c r="D177" s="1273" t="s">
        <v>1105</v>
      </c>
      <c r="E177" s="1273"/>
      <c r="F177" s="1273"/>
      <c r="G177" s="476"/>
      <c r="I177" s="490"/>
    </row>
    <row r="178" spans="1:9" ht="13.7" customHeight="1">
      <c r="A178" s="489"/>
      <c r="B178" s="489"/>
      <c r="C178" s="476"/>
      <c r="D178" s="1273"/>
      <c r="E178" s="1273"/>
      <c r="F178" s="1273"/>
      <c r="G178" s="476"/>
      <c r="I178" s="490"/>
    </row>
    <row r="179" spans="1:9" ht="13.7" customHeight="1">
      <c r="A179" s="489"/>
      <c r="B179" s="489"/>
      <c r="C179" s="476"/>
      <c r="D179" s="1273"/>
      <c r="E179" s="1273"/>
      <c r="F179" s="1273"/>
      <c r="G179" s="476"/>
      <c r="I179" s="490"/>
    </row>
    <row r="180" spans="1:9" ht="13.7" customHeight="1">
      <c r="A180" s="489"/>
      <c r="B180" s="489"/>
      <c r="C180" s="476"/>
      <c r="D180" s="1273"/>
      <c r="E180" s="1273"/>
      <c r="F180" s="1273"/>
      <c r="G180" s="476"/>
      <c r="I180" s="490"/>
    </row>
    <row r="181" spans="1:9" ht="13.7" customHeight="1">
      <c r="D181" s="446"/>
      <c r="E181" s="446"/>
      <c r="F181" s="446"/>
      <c r="I181" s="490"/>
    </row>
    <row r="182" spans="1:9" ht="13.7" customHeight="1">
      <c r="B182" s="485" t="s">
        <v>2732</v>
      </c>
      <c r="D182" s="1314" t="s">
        <v>2050</v>
      </c>
      <c r="E182" s="1314"/>
      <c r="F182" s="1314"/>
      <c r="I182" s="490"/>
    </row>
    <row r="183" spans="1:9" ht="13.7" customHeight="1">
      <c r="D183" s="1314"/>
      <c r="E183" s="1314"/>
      <c r="F183" s="1314"/>
      <c r="I183" s="490"/>
    </row>
    <row r="184" spans="1:9" ht="13.7" customHeight="1">
      <c r="D184" s="1314"/>
      <c r="E184" s="1314"/>
      <c r="F184" s="1314"/>
      <c r="I184" s="490"/>
    </row>
    <row r="185" spans="1:9" ht="13.7" customHeight="1">
      <c r="A185" s="490"/>
      <c r="B185" s="490"/>
      <c r="E185" s="446"/>
      <c r="F185" s="446"/>
      <c r="I185" s="490"/>
    </row>
    <row r="186" spans="1:9">
      <c r="A186" s="1309" t="s">
        <v>2051</v>
      </c>
      <c r="B186" s="1309"/>
      <c r="C186" s="1309"/>
      <c r="D186" s="1309"/>
      <c r="E186" s="1309"/>
      <c r="F186" s="1309"/>
      <c r="G186" s="1309"/>
      <c r="H186" s="1028"/>
      <c r="I186" s="1153"/>
    </row>
    <row r="187" spans="1:9" ht="12" customHeight="1">
      <c r="D187" s="446"/>
      <c r="E187" s="446"/>
      <c r="F187" s="446"/>
      <c r="I187" s="490"/>
    </row>
    <row r="188" spans="1:9">
      <c r="B188" s="1304" t="s">
        <v>446</v>
      </c>
      <c r="C188" s="1304"/>
      <c r="D188" s="1304"/>
      <c r="E188" s="1304"/>
      <c r="F188" s="1304"/>
      <c r="I188" s="490"/>
    </row>
    <row r="189" spans="1:9">
      <c r="B189" s="392" t="s">
        <v>1874</v>
      </c>
      <c r="C189" s="392"/>
      <c r="D189" s="392"/>
      <c r="E189" s="392"/>
      <c r="F189" s="392"/>
      <c r="I189" s="490"/>
    </row>
    <row r="190" spans="1:9" ht="12" customHeight="1">
      <c r="A190" s="482"/>
      <c r="B190" s="482"/>
      <c r="C190" s="482"/>
      <c r="I190" s="490"/>
    </row>
    <row r="191" spans="1:9">
      <c r="A191" s="1309" t="s">
        <v>1044</v>
      </c>
      <c r="B191" s="1309"/>
      <c r="C191" s="1309"/>
      <c r="D191" s="1309"/>
      <c r="E191" s="1309"/>
      <c r="F191" s="1309"/>
      <c r="G191" s="1309"/>
      <c r="H191" s="1028"/>
      <c r="I191" s="1153"/>
    </row>
    <row r="192" spans="1:9" ht="12" customHeight="1">
      <c r="A192" s="404"/>
      <c r="B192" s="404"/>
      <c r="E192" s="404"/>
      <c r="I192" s="490"/>
    </row>
    <row r="193" spans="1:9" ht="13.7" customHeight="1">
      <c r="A193" s="404"/>
      <c r="B193" s="404"/>
      <c r="D193" s="1318" t="s">
        <v>1745</v>
      </c>
      <c r="E193" s="1318"/>
      <c r="F193" s="1318"/>
      <c r="I193" s="490"/>
    </row>
    <row r="194" spans="1:9">
      <c r="A194" s="404"/>
      <c r="B194" s="404"/>
      <c r="D194" s="1318"/>
      <c r="E194" s="1318"/>
      <c r="F194" s="1318"/>
      <c r="I194" s="490"/>
    </row>
    <row r="195" spans="1:9">
      <c r="A195" s="404"/>
      <c r="B195" s="404"/>
      <c r="D195" s="1304" t="s">
        <v>1194</v>
      </c>
      <c r="E195" s="1304"/>
      <c r="F195" s="1304"/>
      <c r="I195" s="490"/>
    </row>
    <row r="196" spans="1:9">
      <c r="A196" s="404"/>
      <c r="B196" s="404"/>
      <c r="D196" s="392"/>
      <c r="E196" s="392"/>
      <c r="F196" s="392"/>
      <c r="I196" s="490"/>
    </row>
    <row r="197" spans="1:9">
      <c r="A197" s="404"/>
      <c r="B197" s="485" t="s">
        <v>2732</v>
      </c>
      <c r="D197" s="1289" t="s">
        <v>1746</v>
      </c>
      <c r="E197" s="1289"/>
      <c r="F197" s="1289"/>
      <c r="I197" s="490"/>
    </row>
    <row r="198" spans="1:9">
      <c r="A198" s="404"/>
      <c r="B198" s="404"/>
      <c r="D198" s="1288" t="s">
        <v>1901</v>
      </c>
      <c r="E198" s="1288"/>
      <c r="F198" s="1288"/>
      <c r="I198" s="490"/>
    </row>
    <row r="199" spans="1:9">
      <c r="A199" s="404"/>
      <c r="B199" s="404"/>
      <c r="D199" s="96" t="s">
        <v>1747</v>
      </c>
      <c r="E199" s="1326" t="s">
        <v>1924</v>
      </c>
      <c r="F199" s="1326"/>
      <c r="I199" s="490"/>
    </row>
    <row r="200" spans="1:9">
      <c r="A200" s="404"/>
      <c r="B200" s="404"/>
      <c r="D200" s="3"/>
      <c r="E200" s="3"/>
      <c r="F200" s="3"/>
      <c r="I200" s="490"/>
    </row>
    <row r="201" spans="1:9">
      <c r="A201" s="404"/>
      <c r="B201" s="485" t="s">
        <v>2732</v>
      </c>
      <c r="D201" s="1288" t="s">
        <v>1748</v>
      </c>
      <c r="E201" s="1288"/>
      <c r="F201" s="1288"/>
      <c r="I201" s="490"/>
    </row>
    <row r="202" spans="1:9">
      <c r="A202" s="404"/>
      <c r="B202" s="404"/>
      <c r="D202" s="1289" t="s">
        <v>1901</v>
      </c>
      <c r="E202" s="1289"/>
      <c r="F202" s="1289"/>
      <c r="I202" s="490"/>
    </row>
    <row r="203" spans="1:9">
      <c r="A203" s="404"/>
      <c r="B203" s="404"/>
      <c r="D203" s="57" t="s">
        <v>1749</v>
      </c>
      <c r="E203" s="1326" t="s">
        <v>1925</v>
      </c>
      <c r="F203" s="1326"/>
      <c r="I203" s="490"/>
    </row>
    <row r="204" spans="1:9">
      <c r="A204" s="404"/>
      <c r="B204" s="404"/>
      <c r="D204" s="3"/>
      <c r="E204" s="3"/>
      <c r="F204" s="3"/>
      <c r="I204" s="490"/>
    </row>
    <row r="205" spans="1:9">
      <c r="A205" s="404"/>
      <c r="B205" s="485" t="s">
        <v>2732</v>
      </c>
      <c r="D205" s="1288" t="s">
        <v>1750</v>
      </c>
      <c r="E205" s="1288"/>
      <c r="F205" s="1288"/>
      <c r="I205" s="490"/>
    </row>
    <row r="206" spans="1:9">
      <c r="A206" s="404"/>
      <c r="B206" s="404"/>
      <c r="D206" s="1289" t="s">
        <v>1901</v>
      </c>
      <c r="E206" s="1289"/>
      <c r="F206" s="1289"/>
      <c r="I206" s="490"/>
    </row>
    <row r="207" spans="1:9">
      <c r="A207" s="404"/>
      <c r="B207" s="404"/>
      <c r="D207" s="57" t="s">
        <v>1747</v>
      </c>
      <c r="E207" s="1326" t="s">
        <v>1926</v>
      </c>
      <c r="F207" s="1326"/>
      <c r="I207" s="490"/>
    </row>
    <row r="208" spans="1:9">
      <c r="A208" s="404"/>
      <c r="B208" s="404"/>
      <c r="D208" s="392"/>
      <c r="E208" s="392"/>
      <c r="F208" s="392"/>
      <c r="I208" s="490"/>
    </row>
    <row r="209" spans="1:9" ht="14.25" customHeight="1">
      <c r="A209" s="484"/>
      <c r="B209" s="485" t="s">
        <v>2732</v>
      </c>
      <c r="D209" s="386" t="s">
        <v>1894</v>
      </c>
      <c r="E209" s="385"/>
      <c r="F209" s="385"/>
      <c r="I209" s="490"/>
    </row>
    <row r="210" spans="1:9" ht="14.25">
      <c r="A210" s="484"/>
      <c r="B210" s="484"/>
      <c r="D210" s="1289" t="s">
        <v>1901</v>
      </c>
      <c r="E210" s="1289"/>
      <c r="F210" s="1289"/>
      <c r="I210" s="490"/>
    </row>
    <row r="211" spans="1:9">
      <c r="D211" s="385"/>
      <c r="E211" s="1326" t="s">
        <v>1927</v>
      </c>
      <c r="F211" s="1326"/>
      <c r="I211" s="490"/>
    </row>
    <row r="212" spans="1:9">
      <c r="D212" s="447"/>
      <c r="I212" s="490"/>
    </row>
    <row r="213" spans="1:9">
      <c r="B213" s="485" t="s">
        <v>2732</v>
      </c>
      <c r="D213" s="1288" t="s">
        <v>1751</v>
      </c>
      <c r="E213" s="1288"/>
      <c r="F213" s="1288"/>
      <c r="I213" s="490"/>
    </row>
    <row r="214" spans="1:9">
      <c r="D214" s="1289" t="s">
        <v>1901</v>
      </c>
      <c r="E214" s="1289"/>
      <c r="F214" s="1289"/>
      <c r="I214" s="490"/>
    </row>
    <row r="215" spans="1:9">
      <c r="D215" s="57" t="s">
        <v>1747</v>
      </c>
      <c r="E215" s="1326" t="s">
        <v>1928</v>
      </c>
      <c r="F215" s="1326"/>
      <c r="I215" s="490"/>
    </row>
    <row r="216" spans="1:9">
      <c r="D216" s="451"/>
      <c r="E216" s="451"/>
      <c r="F216" s="451"/>
      <c r="I216" s="490"/>
    </row>
    <row r="217" spans="1:9" ht="14.25">
      <c r="A217" s="484"/>
      <c r="B217" s="485" t="s">
        <v>2732</v>
      </c>
      <c r="D217" s="1302" t="s">
        <v>1215</v>
      </c>
      <c r="E217" s="1302"/>
      <c r="F217" s="1302"/>
      <c r="I217" s="490"/>
    </row>
    <row r="218" spans="1:9" ht="14.45" customHeight="1">
      <c r="A218" s="484"/>
      <c r="B218" s="402"/>
      <c r="D218" s="1302"/>
      <c r="E218" s="1302"/>
      <c r="F218" s="1302"/>
      <c r="I218" s="490"/>
    </row>
    <row r="219" spans="1:9" ht="14.25">
      <c r="A219" s="484"/>
      <c r="D219" s="1302"/>
      <c r="E219" s="1302"/>
      <c r="F219" s="1302"/>
      <c r="I219" s="490"/>
    </row>
    <row r="220" spans="1:9" ht="14.25">
      <c r="A220" s="484"/>
      <c r="D220" s="1302"/>
      <c r="E220" s="1302"/>
      <c r="F220" s="1302"/>
      <c r="I220" s="490"/>
    </row>
    <row r="221" spans="1:9">
      <c r="D221" s="451"/>
      <c r="E221" s="451"/>
      <c r="F221" s="451"/>
      <c r="I221" s="490"/>
    </row>
    <row r="222" spans="1:9">
      <c r="A222" s="1309" t="s">
        <v>1045</v>
      </c>
      <c r="B222" s="1309"/>
      <c r="C222" s="1309"/>
      <c r="D222" s="1309"/>
      <c r="E222" s="1309"/>
      <c r="F222" s="1309"/>
      <c r="G222" s="1309"/>
      <c r="H222" s="1028"/>
      <c r="I222" s="1153"/>
    </row>
    <row r="223" spans="1:9" ht="12" customHeight="1">
      <c r="D223" s="446"/>
      <c r="E223" s="446"/>
      <c r="F223" s="446"/>
      <c r="I223" s="490"/>
    </row>
    <row r="224" spans="1:9">
      <c r="C224" s="486"/>
      <c r="D224" s="1310" t="s">
        <v>207</v>
      </c>
      <c r="E224" s="1310"/>
      <c r="F224" s="1310"/>
      <c r="I224" s="490"/>
    </row>
    <row r="225" spans="1:9">
      <c r="A225" s="482"/>
      <c r="B225" s="482"/>
      <c r="C225" s="482"/>
      <c r="D225" s="1300" t="s">
        <v>1119</v>
      </c>
      <c r="E225" s="1300"/>
      <c r="F225" s="1300"/>
      <c r="I225" s="490"/>
    </row>
    <row r="226" spans="1:9" ht="12" customHeight="1">
      <c r="A226" s="490"/>
      <c r="B226" s="490"/>
      <c r="C226" s="490"/>
      <c r="I226" s="490"/>
    </row>
    <row r="227" spans="1:9" ht="13.7" customHeight="1">
      <c r="A227" s="490"/>
      <c r="C227" s="490"/>
      <c r="D227" s="1310" t="s">
        <v>546</v>
      </c>
      <c r="E227" s="1310"/>
      <c r="F227" s="1310"/>
      <c r="I227" s="490"/>
    </row>
    <row r="228" spans="1:9" ht="14.25">
      <c r="A228" s="484"/>
      <c r="B228" s="485" t="s">
        <v>2731</v>
      </c>
      <c r="D228" s="1302" t="s">
        <v>1752</v>
      </c>
      <c r="E228" s="1302"/>
      <c r="F228" s="1302"/>
      <c r="I228" s="490"/>
    </row>
    <row r="229" spans="1:9" ht="14.25" customHeight="1">
      <c r="A229" s="484"/>
      <c r="B229" s="484"/>
      <c r="D229" s="1302"/>
      <c r="E229" s="1302"/>
      <c r="F229" s="1302"/>
      <c r="I229" s="490"/>
    </row>
    <row r="230" spans="1:9" ht="14.25" customHeight="1">
      <c r="A230" s="484"/>
      <c r="B230" s="484"/>
      <c r="D230" s="1302"/>
      <c r="E230" s="1302"/>
      <c r="F230" s="1302"/>
      <c r="I230" s="490"/>
    </row>
    <row r="231" spans="1:9" ht="14.25">
      <c r="A231" s="484"/>
      <c r="B231" s="484"/>
      <c r="D231" s="1302"/>
      <c r="E231" s="1302"/>
      <c r="F231" s="1302"/>
      <c r="I231" s="490"/>
    </row>
    <row r="232" spans="1:9" ht="14.25">
      <c r="A232" s="484"/>
      <c r="B232" s="484"/>
      <c r="D232" s="445"/>
      <c r="E232" s="445"/>
      <c r="F232" s="445"/>
      <c r="I232" s="490"/>
    </row>
    <row r="233" spans="1:9" ht="14.25">
      <c r="A233" s="484"/>
      <c r="B233" s="485" t="s">
        <v>2731</v>
      </c>
      <c r="D233" s="1302" t="s">
        <v>1753</v>
      </c>
      <c r="E233" s="1302"/>
      <c r="F233" s="1302"/>
      <c r="I233" s="490"/>
    </row>
    <row r="234" spans="1:9" ht="14.25">
      <c r="A234" s="484"/>
      <c r="B234" s="484"/>
      <c r="D234" s="1302"/>
      <c r="E234" s="1302"/>
      <c r="F234" s="1302"/>
      <c r="I234" s="490"/>
    </row>
    <row r="235" spans="1:9" ht="14.25">
      <c r="A235" s="484"/>
      <c r="B235" s="484"/>
      <c r="D235" s="1302"/>
      <c r="E235" s="1302"/>
      <c r="F235" s="1302"/>
      <c r="I235" s="490"/>
    </row>
    <row r="236" spans="1:9" ht="14.25">
      <c r="A236" s="484"/>
      <c r="B236" s="484"/>
      <c r="D236" s="1302"/>
      <c r="E236" s="1302"/>
      <c r="F236" s="1302"/>
      <c r="I236" s="490"/>
    </row>
    <row r="237" spans="1:9" ht="14.25" customHeight="1">
      <c r="A237" s="484"/>
      <c r="B237" s="484"/>
      <c r="D237" s="1302"/>
      <c r="E237" s="1302"/>
      <c r="F237" s="1302"/>
      <c r="I237" s="490"/>
    </row>
    <row r="238" spans="1:9" ht="14.25" customHeight="1">
      <c r="A238" s="484"/>
      <c r="B238" s="484"/>
      <c r="D238" s="445"/>
      <c r="E238" s="445"/>
      <c r="F238" s="445"/>
      <c r="I238" s="490"/>
    </row>
    <row r="239" spans="1:9" ht="14.25">
      <c r="A239" s="484"/>
      <c r="B239" s="484"/>
      <c r="D239" s="1302" t="s">
        <v>1117</v>
      </c>
      <c r="E239" s="1302"/>
      <c r="F239" s="1302"/>
      <c r="I239" s="490"/>
    </row>
    <row r="240" spans="1:9" ht="14.25">
      <c r="A240" s="484"/>
      <c r="B240" s="484"/>
      <c r="D240" s="1302"/>
      <c r="E240" s="1302"/>
      <c r="F240" s="1302"/>
      <c r="I240" s="490"/>
    </row>
    <row r="241" spans="1:9" ht="14.25">
      <c r="A241" s="484"/>
      <c r="B241" s="484"/>
      <c r="D241" s="1302"/>
      <c r="E241" s="1302"/>
      <c r="F241" s="1302"/>
      <c r="I241" s="490"/>
    </row>
    <row r="242" spans="1:9" ht="14.25">
      <c r="A242" s="484"/>
      <c r="B242" s="484"/>
      <c r="D242" s="1302"/>
      <c r="E242" s="1302"/>
      <c r="F242" s="1302"/>
      <c r="I242" s="490"/>
    </row>
    <row r="243" spans="1:9" ht="14.25">
      <c r="A243" s="484"/>
      <c r="B243" s="484"/>
      <c r="D243" s="1302"/>
      <c r="E243" s="1302"/>
      <c r="F243" s="1302"/>
      <c r="I243" s="490"/>
    </row>
    <row r="244" spans="1:9" ht="14.25">
      <c r="A244" s="484"/>
      <c r="B244" s="484"/>
      <c r="D244" s="446"/>
      <c r="E244" s="446"/>
      <c r="F244" s="446"/>
      <c r="I244" s="490"/>
    </row>
    <row r="245" spans="1:9" ht="14.25">
      <c r="A245" s="484"/>
      <c r="B245" s="485" t="s">
        <v>2732</v>
      </c>
      <c r="D245" s="1302" t="s">
        <v>2052</v>
      </c>
      <c r="E245" s="1302"/>
      <c r="F245" s="1302"/>
      <c r="I245" s="490"/>
    </row>
    <row r="246" spans="1:9" ht="14.25">
      <c r="A246" s="484"/>
      <c r="B246" s="484"/>
      <c r="D246" s="1302"/>
      <c r="E246" s="1302"/>
      <c r="F246" s="1302"/>
      <c r="I246" s="490"/>
    </row>
    <row r="247" spans="1:9" ht="14.25">
      <c r="A247" s="484"/>
      <c r="B247" s="484"/>
      <c r="D247" s="1302"/>
      <c r="E247" s="1302"/>
      <c r="F247" s="1302"/>
      <c r="I247" s="490"/>
    </row>
    <row r="248" spans="1:9" ht="14.25">
      <c r="A248" s="484"/>
      <c r="B248" s="484"/>
      <c r="E248" s="1036" t="s">
        <v>1895</v>
      </c>
      <c r="I248" s="490"/>
    </row>
    <row r="249" spans="1:9" ht="14.25">
      <c r="A249" s="484"/>
      <c r="B249" s="484"/>
      <c r="D249" s="446"/>
      <c r="E249" s="446"/>
      <c r="F249" s="446"/>
      <c r="I249" s="490"/>
    </row>
    <row r="250" spans="1:9" ht="14.45" customHeight="1">
      <c r="A250" s="484"/>
      <c r="B250" s="485" t="s">
        <v>2732</v>
      </c>
      <c r="D250" s="1302" t="s">
        <v>2053</v>
      </c>
      <c r="E250" s="1302"/>
      <c r="F250" s="1302"/>
      <c r="I250" s="490"/>
    </row>
    <row r="251" spans="1:9" ht="14.25">
      <c r="A251" s="484"/>
      <c r="B251" s="484"/>
      <c r="D251" s="1302"/>
      <c r="E251" s="1302"/>
      <c r="F251" s="1302"/>
      <c r="I251" s="490"/>
    </row>
    <row r="252" spans="1:9" ht="14.25">
      <c r="A252" s="484"/>
      <c r="B252" s="484"/>
      <c r="D252" s="1302"/>
      <c r="E252" s="1302"/>
      <c r="F252" s="1302"/>
      <c r="I252" s="490"/>
    </row>
    <row r="253" spans="1:9" ht="14.25">
      <c r="A253" s="484"/>
      <c r="B253" s="484"/>
      <c r="D253" s="1302"/>
      <c r="E253" s="1302"/>
      <c r="F253" s="1302"/>
      <c r="I253" s="490"/>
    </row>
    <row r="254" spans="1:9" ht="14.25">
      <c r="A254" s="484"/>
      <c r="B254" s="484"/>
      <c r="D254" s="1302"/>
      <c r="E254" s="1302"/>
      <c r="F254" s="1302"/>
      <c r="I254" s="490"/>
    </row>
    <row r="255" spans="1:9" ht="14.25">
      <c r="A255" s="484"/>
      <c r="B255" s="484"/>
      <c r="D255" s="445"/>
      <c r="E255" s="445"/>
      <c r="F255" s="445"/>
      <c r="I255" s="490"/>
    </row>
    <row r="256" spans="1:9" ht="14.25">
      <c r="A256" s="484"/>
      <c r="B256" s="485" t="s">
        <v>2731</v>
      </c>
      <c r="D256" s="392" t="s">
        <v>2054</v>
      </c>
      <c r="E256" s="445"/>
      <c r="F256" s="445"/>
      <c r="I256" s="490"/>
    </row>
    <row r="257" spans="1:9" ht="14.25">
      <c r="A257" s="484"/>
      <c r="B257" s="484"/>
      <c r="E257" s="1036" t="s">
        <v>1896</v>
      </c>
      <c r="I257" s="490"/>
    </row>
    <row r="258" spans="1:9">
      <c r="D258" s="446"/>
      <c r="E258" s="446"/>
      <c r="F258" s="446"/>
      <c r="I258" s="490"/>
    </row>
    <row r="259" spans="1:9" ht="14.25">
      <c r="A259" s="484"/>
      <c r="B259" s="485" t="s">
        <v>2731</v>
      </c>
      <c r="D259" s="1302" t="s">
        <v>1118</v>
      </c>
      <c r="E259" s="1302"/>
      <c r="F259" s="1302"/>
      <c r="I259" s="490"/>
    </row>
    <row r="260" spans="1:9" ht="14.25">
      <c r="A260" s="484"/>
      <c r="B260" s="484"/>
      <c r="D260" s="1302"/>
      <c r="E260" s="1302"/>
      <c r="F260" s="1302"/>
      <c r="I260" s="490"/>
    </row>
    <row r="261" spans="1:9">
      <c r="D261" s="491"/>
      <c r="I261" s="490"/>
    </row>
    <row r="262" spans="1:9">
      <c r="A262" s="1309" t="s">
        <v>1046</v>
      </c>
      <c r="B262" s="1309"/>
      <c r="C262" s="1309"/>
      <c r="D262" s="1309"/>
      <c r="E262" s="1309"/>
      <c r="F262" s="1309"/>
      <c r="G262" s="1309"/>
      <c r="H262" s="1028"/>
      <c r="I262" s="1153"/>
    </row>
    <row r="263" spans="1:9">
      <c r="D263" s="491"/>
      <c r="I263" s="490"/>
    </row>
    <row r="264" spans="1:9">
      <c r="C264" s="486"/>
      <c r="D264" s="1310" t="s">
        <v>1120</v>
      </c>
      <c r="E264" s="1310"/>
      <c r="F264" s="1310"/>
      <c r="I264" s="490"/>
    </row>
    <row r="265" spans="1:9">
      <c r="A265" s="482"/>
      <c r="B265" s="482"/>
      <c r="C265" s="482"/>
      <c r="D265" s="446"/>
      <c r="E265" s="446"/>
      <c r="F265" s="446"/>
      <c r="I265" s="490"/>
    </row>
    <row r="266" spans="1:9">
      <c r="A266" s="483"/>
      <c r="B266" s="483"/>
      <c r="C266" s="483"/>
      <c r="D266" s="1310" t="s">
        <v>268</v>
      </c>
      <c r="E266" s="1310"/>
      <c r="F266" s="1310"/>
      <c r="I266" s="490"/>
    </row>
    <row r="267" spans="1:9" ht="14.45" customHeight="1">
      <c r="A267" s="484"/>
      <c r="B267" s="485" t="s">
        <v>2731</v>
      </c>
      <c r="D267" s="1302" t="s">
        <v>1195</v>
      </c>
      <c r="E267" s="1302"/>
      <c r="F267" s="1302"/>
      <c r="I267" s="490"/>
    </row>
    <row r="268" spans="1:9">
      <c r="D268" s="1302"/>
      <c r="E268" s="1302"/>
      <c r="F268" s="1302"/>
      <c r="I268" s="490"/>
    </row>
    <row r="269" spans="1:9">
      <c r="E269" s="1036" t="s">
        <v>1897</v>
      </c>
      <c r="I269" s="490"/>
    </row>
    <row r="270" spans="1:9">
      <c r="D270" s="446"/>
      <c r="E270" s="446"/>
      <c r="F270" s="446"/>
      <c r="I270" s="490"/>
    </row>
    <row r="271" spans="1:9" ht="14.45" customHeight="1">
      <c r="A271" s="484"/>
      <c r="B271" s="485" t="s">
        <v>2732</v>
      </c>
      <c r="D271" s="1302" t="s">
        <v>2055</v>
      </c>
      <c r="E271" s="1302"/>
      <c r="F271" s="1302"/>
      <c r="I271" s="490"/>
    </row>
    <row r="272" spans="1:9">
      <c r="D272" s="1302"/>
      <c r="E272" s="1302"/>
      <c r="F272" s="1302"/>
      <c r="I272" s="490"/>
    </row>
    <row r="273" spans="1:9">
      <c r="D273" s="1302"/>
      <c r="E273" s="1302"/>
      <c r="F273" s="1302"/>
      <c r="I273" s="490"/>
    </row>
    <row r="274" spans="1:9">
      <c r="D274" s="1302"/>
      <c r="E274" s="1302"/>
      <c r="F274" s="1302"/>
      <c r="I274" s="490"/>
    </row>
    <row r="275" spans="1:9">
      <c r="D275" s="1302"/>
      <c r="E275" s="1302"/>
      <c r="F275" s="1302"/>
      <c r="I275" s="490"/>
    </row>
    <row r="276" spans="1:9">
      <c r="D276" s="1302"/>
      <c r="E276" s="1302"/>
      <c r="F276" s="1302"/>
      <c r="I276" s="490"/>
    </row>
    <row r="277" spans="1:9">
      <c r="D277" s="446"/>
      <c r="E277" s="446"/>
      <c r="F277" s="446"/>
      <c r="I277" s="490"/>
    </row>
    <row r="278" spans="1:9" ht="14.25">
      <c r="A278" s="484"/>
      <c r="B278" s="485" t="s">
        <v>2732</v>
      </c>
      <c r="D278" s="1302" t="s">
        <v>1121</v>
      </c>
      <c r="E278" s="1302"/>
      <c r="F278" s="1302"/>
      <c r="I278" s="490"/>
    </row>
    <row r="279" spans="1:9">
      <c r="D279" s="1302"/>
      <c r="E279" s="1302"/>
      <c r="F279" s="1302"/>
      <c r="I279" s="490"/>
    </row>
    <row r="280" spans="1:9">
      <c r="D280" s="1302"/>
      <c r="E280" s="1302"/>
      <c r="F280" s="1302"/>
      <c r="I280" s="490"/>
    </row>
    <row r="281" spans="1:9">
      <c r="D281" s="492"/>
      <c r="E281" s="446"/>
      <c r="F281" s="446"/>
      <c r="I281" s="490"/>
    </row>
    <row r="282" spans="1:9">
      <c r="A282" s="1309" t="s">
        <v>1047</v>
      </c>
      <c r="B282" s="1309"/>
      <c r="C282" s="1309"/>
      <c r="D282" s="1309"/>
      <c r="E282" s="1309"/>
      <c r="F282" s="1309"/>
      <c r="G282" s="1309"/>
      <c r="H282" s="1028"/>
      <c r="I282" s="1153"/>
    </row>
    <row r="283" spans="1:9">
      <c r="D283" s="492"/>
      <c r="E283" s="446"/>
      <c r="F283" s="446"/>
      <c r="I283" s="490"/>
    </row>
    <row r="284" spans="1:9">
      <c r="C284" s="482"/>
      <c r="D284" s="1318" t="s">
        <v>1122</v>
      </c>
      <c r="E284" s="1318"/>
      <c r="F284" s="1318"/>
      <c r="I284" s="490"/>
    </row>
    <row r="285" spans="1:9">
      <c r="C285" s="482"/>
      <c r="D285" s="1318"/>
      <c r="E285" s="1318"/>
      <c r="F285" s="1318"/>
      <c r="I285" s="490"/>
    </row>
    <row r="286" spans="1:9">
      <c r="A286" s="483"/>
      <c r="B286" s="483"/>
      <c r="C286" s="483"/>
      <c r="D286" s="404"/>
      <c r="I286" s="490"/>
    </row>
    <row r="287" spans="1:9">
      <c r="C287" s="483"/>
      <c r="D287" s="1310" t="s">
        <v>208</v>
      </c>
      <c r="E287" s="1310"/>
      <c r="F287" s="1310"/>
      <c r="I287" s="490"/>
    </row>
    <row r="288" spans="1:9" ht="15.75" customHeight="1">
      <c r="A288" s="484"/>
      <c r="B288" s="484"/>
      <c r="D288" s="1327" t="s">
        <v>1123</v>
      </c>
      <c r="E288" s="1327"/>
      <c r="F288" s="1327"/>
      <c r="I288" s="490"/>
    </row>
    <row r="289" spans="1:9">
      <c r="E289" s="446"/>
      <c r="F289" s="446"/>
      <c r="I289" s="490"/>
    </row>
    <row r="290" spans="1:9" ht="14.25">
      <c r="A290" s="484"/>
      <c r="B290" s="485" t="s">
        <v>2732</v>
      </c>
      <c r="D290" s="1302" t="s">
        <v>1124</v>
      </c>
      <c r="E290" s="1302"/>
      <c r="F290" s="1302"/>
      <c r="I290" s="490"/>
    </row>
    <row r="291" spans="1:9" ht="14.25">
      <c r="A291" s="484"/>
      <c r="B291" s="484"/>
      <c r="D291" s="1302"/>
      <c r="E291" s="1302"/>
      <c r="F291" s="1302"/>
      <c r="I291" s="490"/>
    </row>
    <row r="292" spans="1:9">
      <c r="D292" s="446"/>
      <c r="E292" s="446"/>
      <c r="F292" s="446"/>
      <c r="I292" s="490"/>
    </row>
    <row r="293" spans="1:9" ht="14.25">
      <c r="A293" s="484"/>
      <c r="B293" s="485" t="s">
        <v>2732</v>
      </c>
      <c r="D293" s="1302" t="s">
        <v>1125</v>
      </c>
      <c r="E293" s="1302"/>
      <c r="F293" s="1302"/>
      <c r="I293" s="490"/>
    </row>
    <row r="294" spans="1:9" ht="14.25">
      <c r="A294" s="484"/>
      <c r="B294" s="484"/>
      <c r="D294" s="1302"/>
      <c r="E294" s="1302"/>
      <c r="F294" s="1302"/>
      <c r="I294" s="490"/>
    </row>
    <row r="295" spans="1:9" ht="14.25">
      <c r="A295" s="484"/>
      <c r="B295" s="484"/>
      <c r="D295" s="1302"/>
      <c r="E295" s="1302"/>
      <c r="F295" s="1302"/>
      <c r="I295" s="490"/>
    </row>
    <row r="296" spans="1:9">
      <c r="D296" s="446"/>
      <c r="E296" s="446"/>
      <c r="F296" s="446"/>
      <c r="I296" s="490"/>
    </row>
    <row r="297" spans="1:9" ht="14.25">
      <c r="A297" s="484"/>
      <c r="B297" s="485" t="s">
        <v>2732</v>
      </c>
      <c r="D297" s="1302" t="s">
        <v>1126</v>
      </c>
      <c r="E297" s="1302"/>
      <c r="F297" s="1302"/>
      <c r="I297" s="490"/>
    </row>
    <row r="298" spans="1:9" ht="14.25">
      <c r="A298" s="484"/>
      <c r="B298" s="484"/>
      <c r="D298" s="1302"/>
      <c r="E298" s="1302"/>
      <c r="F298" s="1302"/>
      <c r="I298" s="490"/>
    </row>
    <row r="299" spans="1:9">
      <c r="A299" s="490"/>
      <c r="B299" s="490"/>
      <c r="E299" s="446"/>
      <c r="F299" s="446"/>
      <c r="I299" s="490"/>
    </row>
    <row r="300" spans="1:9">
      <c r="A300" s="1309" t="s">
        <v>1048</v>
      </c>
      <c r="B300" s="1309"/>
      <c r="C300" s="1309"/>
      <c r="D300" s="1309"/>
      <c r="E300" s="1309"/>
      <c r="F300" s="1309"/>
      <c r="G300" s="1309"/>
      <c r="H300" s="1028"/>
      <c r="I300" s="1153"/>
    </row>
    <row r="301" spans="1:9">
      <c r="A301" s="490"/>
      <c r="B301" s="490"/>
      <c r="D301" s="446"/>
      <c r="E301" s="446"/>
      <c r="F301" s="446"/>
      <c r="I301" s="490"/>
    </row>
    <row r="302" spans="1:9">
      <c r="C302" s="490"/>
      <c r="D302" s="1310" t="s">
        <v>682</v>
      </c>
      <c r="E302" s="1310"/>
      <c r="F302" s="1310"/>
      <c r="I302" s="490"/>
    </row>
    <row r="303" spans="1:9">
      <c r="C303" s="490"/>
      <c r="D303" s="1300" t="s">
        <v>1127</v>
      </c>
      <c r="E303" s="1300"/>
      <c r="F303" s="1300"/>
      <c r="I303" s="490"/>
    </row>
    <row r="304" spans="1:9">
      <c r="C304" s="490"/>
      <c r="D304" s="493"/>
      <c r="I304" s="490"/>
    </row>
    <row r="305" spans="1:9">
      <c r="B305" s="485" t="s">
        <v>2732</v>
      </c>
      <c r="D305" s="1300" t="s">
        <v>1128</v>
      </c>
      <c r="E305" s="1300"/>
      <c r="F305" s="1300"/>
      <c r="I305" s="490"/>
    </row>
    <row r="306" spans="1:9" ht="14.25">
      <c r="A306" s="484"/>
      <c r="B306" s="484"/>
      <c r="D306" s="494"/>
      <c r="E306" s="495"/>
      <c r="F306" s="495"/>
      <c r="I306" s="490"/>
    </row>
    <row r="307" spans="1:9" ht="13.7" customHeight="1">
      <c r="B307" s="485" t="s">
        <v>2732</v>
      </c>
      <c r="D307" s="1311" t="s">
        <v>1218</v>
      </c>
      <c r="E307" s="1311"/>
      <c r="F307" s="1311"/>
      <c r="I307" s="490"/>
    </row>
    <row r="308" spans="1:9" ht="14.25">
      <c r="A308" s="484"/>
      <c r="B308" s="484"/>
      <c r="D308" s="1311"/>
      <c r="E308" s="1311"/>
      <c r="F308" s="1311"/>
      <c r="I308" s="490"/>
    </row>
    <row r="309" spans="1:9" ht="14.25">
      <c r="A309" s="484"/>
      <c r="B309" s="484"/>
      <c r="D309" s="1311"/>
      <c r="E309" s="1311"/>
      <c r="F309" s="1311"/>
      <c r="I309" s="490"/>
    </row>
    <row r="310" spans="1:9" ht="14.25">
      <c r="A310" s="484"/>
      <c r="B310" s="484"/>
      <c r="D310" s="1311"/>
      <c r="E310" s="1311"/>
      <c r="F310" s="1311"/>
      <c r="I310" s="490"/>
    </row>
    <row r="311" spans="1:9" ht="14.25">
      <c r="A311" s="484"/>
      <c r="B311" s="484"/>
      <c r="D311" s="1311"/>
      <c r="E311" s="1311"/>
      <c r="F311" s="1311"/>
      <c r="I311" s="490"/>
    </row>
    <row r="312" spans="1:9" ht="14.25">
      <c r="A312" s="484"/>
      <c r="B312" s="484"/>
      <c r="D312" s="494"/>
      <c r="E312" s="495"/>
      <c r="F312" s="495"/>
      <c r="I312" s="490"/>
    </row>
    <row r="313" spans="1:9" ht="13.7" customHeight="1">
      <c r="B313" s="485" t="s">
        <v>2732</v>
      </c>
      <c r="D313" s="1311" t="s">
        <v>1129</v>
      </c>
      <c r="E313" s="1311"/>
      <c r="F313" s="1311"/>
      <c r="I313" s="490"/>
    </row>
    <row r="314" spans="1:9">
      <c r="D314" s="1311"/>
      <c r="E314" s="1311"/>
      <c r="F314" s="1311"/>
      <c r="I314" s="490"/>
    </row>
    <row r="315" spans="1:9" ht="14.25">
      <c r="A315" s="484"/>
      <c r="B315" s="484"/>
      <c r="D315" s="494"/>
      <c r="E315" s="495"/>
      <c r="F315" s="495"/>
      <c r="I315" s="490"/>
    </row>
    <row r="316" spans="1:9">
      <c r="B316" s="485" t="s">
        <v>2732</v>
      </c>
      <c r="D316" s="1300" t="s">
        <v>1130</v>
      </c>
      <c r="E316" s="1300"/>
      <c r="F316" s="1300"/>
      <c r="I316" s="490"/>
    </row>
    <row r="317" spans="1:9">
      <c r="E317" s="446"/>
      <c r="F317" s="446"/>
      <c r="I317" s="490"/>
    </row>
    <row r="318" spans="1:9" ht="14.25">
      <c r="A318" s="484"/>
      <c r="B318" s="485" t="s">
        <v>2732</v>
      </c>
      <c r="D318" s="1302" t="s">
        <v>2244</v>
      </c>
      <c r="E318" s="1302"/>
      <c r="F318" s="1302"/>
      <c r="I318" s="490"/>
    </row>
    <row r="319" spans="1:9" ht="14.25">
      <c r="A319" s="484"/>
      <c r="B319" s="484"/>
      <c r="D319" s="1302"/>
      <c r="E319" s="1302"/>
      <c r="F319" s="1302"/>
      <c r="I319" s="490"/>
    </row>
    <row r="320" spans="1:9" ht="14.25">
      <c r="A320" s="484"/>
      <c r="B320" s="484"/>
      <c r="D320" s="1302"/>
      <c r="E320" s="1302"/>
      <c r="F320" s="1302"/>
      <c r="I320" s="490"/>
    </row>
    <row r="321" spans="1:9" ht="14.25">
      <c r="A321" s="484"/>
      <c r="B321" s="484"/>
      <c r="D321" s="1302"/>
      <c r="E321" s="1302"/>
      <c r="F321" s="1302"/>
      <c r="I321" s="490"/>
    </row>
    <row r="322" spans="1:9" ht="14.25">
      <c r="A322" s="484"/>
      <c r="B322" s="484"/>
      <c r="D322" s="1302"/>
      <c r="E322" s="1302"/>
      <c r="F322" s="1302"/>
      <c r="I322" s="490"/>
    </row>
    <row r="323" spans="1:9" ht="14.25">
      <c r="A323" s="484"/>
      <c r="B323" s="484"/>
      <c r="D323" s="1302"/>
      <c r="E323" s="1302"/>
      <c r="F323" s="1302"/>
      <c r="I323" s="490"/>
    </row>
    <row r="324" spans="1:9" ht="14.25">
      <c r="A324" s="484"/>
      <c r="B324" s="484"/>
      <c r="D324" s="1302"/>
      <c r="E324" s="1302"/>
      <c r="F324" s="1302"/>
      <c r="I324" s="490"/>
    </row>
    <row r="325" spans="1:9" ht="14.25">
      <c r="A325" s="484"/>
      <c r="B325" s="484"/>
      <c r="D325" s="1302"/>
      <c r="E325" s="1302"/>
      <c r="F325" s="1302"/>
      <c r="I325" s="490"/>
    </row>
    <row r="326" spans="1:9" ht="14.25">
      <c r="A326" s="484"/>
      <c r="B326" s="484"/>
      <c r="D326" s="1302"/>
      <c r="E326" s="1302"/>
      <c r="F326" s="1302"/>
      <c r="I326" s="490"/>
    </row>
    <row r="327" spans="1:9" ht="14.25">
      <c r="A327" s="484"/>
      <c r="B327" s="484"/>
      <c r="D327" s="1302"/>
      <c r="E327" s="1302"/>
      <c r="F327" s="1302"/>
      <c r="I327" s="490"/>
    </row>
    <row r="328" spans="1:9" ht="14.25">
      <c r="A328" s="484"/>
      <c r="B328" s="484"/>
      <c r="D328" s="1302"/>
      <c r="E328" s="1302"/>
      <c r="F328" s="1302"/>
      <c r="I328" s="490"/>
    </row>
    <row r="329" spans="1:9" ht="14.25">
      <c r="A329" s="484"/>
      <c r="B329" s="484"/>
      <c r="D329" s="1302"/>
      <c r="E329" s="1302"/>
      <c r="F329" s="1302"/>
      <c r="I329" s="490"/>
    </row>
    <row r="330" spans="1:9" ht="14.25">
      <c r="A330" s="484"/>
      <c r="B330" s="484"/>
      <c r="D330" s="1302"/>
      <c r="E330" s="1302"/>
      <c r="F330" s="1302"/>
      <c r="I330" s="490"/>
    </row>
    <row r="331" spans="1:9" ht="14.25">
      <c r="A331" s="484"/>
      <c r="B331" s="484"/>
      <c r="D331" s="1302"/>
      <c r="E331" s="1302"/>
      <c r="F331" s="1302"/>
      <c r="I331" s="490"/>
    </row>
    <row r="332" spans="1:9" ht="14.25">
      <c r="A332" s="484"/>
      <c r="B332" s="484"/>
      <c r="D332" s="1302"/>
      <c r="E332" s="1302"/>
      <c r="F332" s="1302"/>
      <c r="I332" s="490"/>
    </row>
    <row r="333" spans="1:9">
      <c r="D333" s="446"/>
      <c r="E333" s="446"/>
      <c r="F333" s="446"/>
      <c r="I333" s="490"/>
    </row>
    <row r="334" spans="1:9" ht="14.25">
      <c r="A334" s="484"/>
      <c r="B334" s="485" t="s">
        <v>2732</v>
      </c>
      <c r="D334" s="1302" t="s">
        <v>1131</v>
      </c>
      <c r="E334" s="1302"/>
      <c r="F334" s="1302"/>
      <c r="I334" s="490"/>
    </row>
    <row r="335" spans="1:9">
      <c r="D335" s="1302"/>
      <c r="E335" s="1302"/>
      <c r="F335" s="1302"/>
      <c r="I335" s="490"/>
    </row>
    <row r="336" spans="1:9">
      <c r="D336" s="1302"/>
      <c r="E336" s="1302"/>
      <c r="F336" s="1302"/>
      <c r="I336" s="490"/>
    </row>
    <row r="337" spans="1:9">
      <c r="D337" s="1302"/>
      <c r="E337" s="1302"/>
      <c r="F337" s="1302"/>
      <c r="I337" s="490"/>
    </row>
    <row r="338" spans="1:9">
      <c r="D338" s="1302"/>
      <c r="E338" s="1302"/>
      <c r="F338" s="1302"/>
      <c r="I338" s="490"/>
    </row>
    <row r="339" spans="1:9">
      <c r="D339" s="1302"/>
      <c r="E339" s="1302"/>
      <c r="F339" s="1302"/>
      <c r="I339" s="490"/>
    </row>
    <row r="340" spans="1:9">
      <c r="D340" s="1302"/>
      <c r="E340" s="1302"/>
      <c r="F340" s="1302"/>
      <c r="I340" s="490"/>
    </row>
    <row r="341" spans="1:9">
      <c r="D341" s="1302"/>
      <c r="E341" s="1302"/>
      <c r="F341" s="1302"/>
      <c r="I341" s="490"/>
    </row>
    <row r="342" spans="1:9">
      <c r="D342" s="1302"/>
      <c r="E342" s="1302"/>
      <c r="F342" s="1302"/>
      <c r="I342" s="490"/>
    </row>
    <row r="343" spans="1:9">
      <c r="D343" s="446"/>
      <c r="E343" s="446"/>
      <c r="F343" s="446"/>
      <c r="I343" s="490"/>
    </row>
    <row r="344" spans="1:9" ht="14.25" customHeight="1">
      <c r="A344" s="484"/>
      <c r="B344" s="485" t="s">
        <v>2732</v>
      </c>
      <c r="D344" s="1302" t="s">
        <v>1902</v>
      </c>
      <c r="E344" s="1302"/>
      <c r="F344" s="1302"/>
      <c r="I344" s="490"/>
    </row>
    <row r="345" spans="1:9">
      <c r="D345" s="1302"/>
      <c r="E345" s="1302"/>
      <c r="F345" s="1302"/>
      <c r="I345" s="490"/>
    </row>
    <row r="346" spans="1:9">
      <c r="D346" s="1302"/>
      <c r="E346" s="1302"/>
      <c r="F346" s="1302"/>
      <c r="I346" s="490"/>
    </row>
    <row r="347" spans="1:9">
      <c r="D347" s="1302"/>
      <c r="E347" s="1302"/>
      <c r="F347" s="1302"/>
      <c r="I347" s="490"/>
    </row>
    <row r="348" spans="1:9">
      <c r="D348" s="386" t="s">
        <v>1901</v>
      </c>
      <c r="E348" s="385"/>
      <c r="F348" s="385"/>
      <c r="I348" s="490"/>
    </row>
    <row r="349" spans="1:9">
      <c r="D349" s="385"/>
      <c r="E349" s="96" t="s">
        <v>1898</v>
      </c>
      <c r="G349" s="96"/>
      <c r="I349" s="490"/>
    </row>
    <row r="350" spans="1:9">
      <c r="D350" s="445"/>
      <c r="E350" s="445"/>
      <c r="F350" s="445"/>
      <c r="I350" s="490"/>
    </row>
    <row r="351" spans="1:9" ht="13.5" thickBot="1">
      <c r="A351" s="1022"/>
      <c r="B351" s="1022"/>
      <c r="C351" s="1022"/>
      <c r="D351" s="1330" t="s">
        <v>978</v>
      </c>
      <c r="E351" s="1330"/>
      <c r="F351" s="1330"/>
      <c r="G351" s="1027"/>
      <c r="H351" s="1027"/>
      <c r="I351" s="1156"/>
    </row>
    <row r="352" spans="1:9" ht="13.5" thickTop="1">
      <c r="D352" s="1329" t="s">
        <v>2245</v>
      </c>
      <c r="E352" s="1329"/>
      <c r="F352" s="1329"/>
      <c r="I352" s="490"/>
    </row>
    <row r="353" spans="1:9">
      <c r="D353" s="446"/>
      <c r="E353" s="446"/>
      <c r="F353" s="446"/>
      <c r="I353" s="490"/>
    </row>
    <row r="354" spans="1:9">
      <c r="A354" s="476"/>
      <c r="B354" s="476"/>
      <c r="C354" s="476"/>
      <c r="D354" s="447"/>
      <c r="E354" s="447"/>
      <c r="F354" s="446"/>
      <c r="I354" s="490"/>
    </row>
    <row r="355" spans="1:9" ht="14.25">
      <c r="A355" s="484"/>
      <c r="B355" s="485" t="s">
        <v>2732</v>
      </c>
      <c r="C355" s="487"/>
      <c r="D355" s="1300" t="s">
        <v>1900</v>
      </c>
      <c r="E355" s="1300"/>
      <c r="F355" s="1300"/>
      <c r="I355" s="490"/>
    </row>
    <row r="356" spans="1:9" ht="12.75" customHeight="1">
      <c r="D356" s="1037"/>
      <c r="E356" s="96" t="s">
        <v>1899</v>
      </c>
      <c r="F356" s="1037"/>
      <c r="I356" s="490"/>
    </row>
    <row r="357" spans="1:9">
      <c r="D357" s="1302" t="s">
        <v>1238</v>
      </c>
      <c r="E357" s="1302"/>
      <c r="F357" s="1302"/>
      <c r="I357" s="490"/>
    </row>
    <row r="358" spans="1:9">
      <c r="D358" s="1302"/>
      <c r="E358" s="1302"/>
      <c r="F358" s="1302"/>
      <c r="I358" s="490"/>
    </row>
    <row r="359" spans="1:9">
      <c r="D359" s="1302"/>
      <c r="E359" s="1302"/>
      <c r="F359" s="1302"/>
      <c r="I359" s="490"/>
    </row>
    <row r="360" spans="1:9" ht="14.25">
      <c r="A360" s="484"/>
      <c r="B360" s="485" t="s">
        <v>2732</v>
      </c>
      <c r="C360" s="476"/>
      <c r="D360" s="1319" t="s">
        <v>2056</v>
      </c>
      <c r="E360" s="1319"/>
      <c r="F360" s="1319"/>
      <c r="I360" s="480"/>
    </row>
    <row r="361" spans="1:9">
      <c r="A361" s="476"/>
      <c r="B361" s="476"/>
      <c r="C361" s="476"/>
      <c r="D361" s="447"/>
      <c r="E361" s="447"/>
      <c r="F361" s="446"/>
      <c r="I361" s="490"/>
    </row>
    <row r="362" spans="1:9">
      <c r="A362" s="476"/>
      <c r="B362" s="485" t="s">
        <v>2732</v>
      </c>
      <c r="C362" s="476"/>
      <c r="D362" s="1273" t="s">
        <v>2057</v>
      </c>
      <c r="E362" s="1273"/>
      <c r="F362" s="1273"/>
      <c r="I362" s="490"/>
    </row>
    <row r="363" spans="1:9">
      <c r="A363" s="476"/>
      <c r="B363" s="476"/>
      <c r="C363" s="476"/>
      <c r="D363" s="1273"/>
      <c r="E363" s="1273"/>
      <c r="F363" s="1273"/>
      <c r="I363" s="490"/>
    </row>
    <row r="364" spans="1:9">
      <c r="A364" s="476"/>
      <c r="B364" s="476"/>
      <c r="C364" s="476"/>
      <c r="D364" s="1273"/>
      <c r="E364" s="1273"/>
      <c r="F364" s="1273"/>
      <c r="I364" s="490"/>
    </row>
    <row r="365" spans="1:9">
      <c r="A365" s="476"/>
      <c r="B365" s="476"/>
      <c r="C365" s="476"/>
      <c r="D365" s="1273"/>
      <c r="E365" s="1273"/>
      <c r="F365" s="1273"/>
      <c r="I365" s="490"/>
    </row>
    <row r="366" spans="1:9">
      <c r="A366" s="476"/>
      <c r="B366" s="476"/>
      <c r="C366" s="476"/>
      <c r="D366" s="1273"/>
      <c r="E366" s="1273"/>
      <c r="F366" s="1273"/>
      <c r="I366" s="490"/>
    </row>
    <row r="367" spans="1:9">
      <c r="A367" s="476"/>
      <c r="B367" s="476"/>
      <c r="C367" s="476"/>
      <c r="D367" s="1273"/>
      <c r="E367" s="1273"/>
      <c r="F367" s="1273"/>
      <c r="I367" s="490"/>
    </row>
    <row r="368" spans="1:9">
      <c r="A368" s="476"/>
      <c r="B368" s="476"/>
      <c r="C368" s="476"/>
      <c r="D368" s="1273"/>
      <c r="E368" s="1273"/>
      <c r="F368" s="1273"/>
      <c r="I368" s="490"/>
    </row>
    <row r="369" spans="1:9">
      <c r="A369" s="476"/>
      <c r="B369" s="476"/>
      <c r="C369" s="476"/>
      <c r="D369" s="1273"/>
      <c r="E369" s="1273"/>
      <c r="F369" s="1273"/>
      <c r="I369" s="490"/>
    </row>
    <row r="370" spans="1:9">
      <c r="A370" s="476"/>
      <c r="B370" s="476"/>
      <c r="C370" s="476"/>
      <c r="D370" s="1273"/>
      <c r="E370" s="1273"/>
      <c r="F370" s="1273"/>
      <c r="I370" s="490"/>
    </row>
    <row r="371" spans="1:9">
      <c r="A371" s="476"/>
      <c r="B371" s="476"/>
      <c r="C371" s="476"/>
      <c r="D371" s="1273"/>
      <c r="E371" s="1273"/>
      <c r="F371" s="1273"/>
      <c r="I371" s="490"/>
    </row>
    <row r="372" spans="1:9">
      <c r="A372" s="476"/>
      <c r="B372" s="476"/>
      <c r="C372" s="476"/>
      <c r="D372" s="1273"/>
      <c r="E372" s="1273"/>
      <c r="F372" s="1273"/>
      <c r="I372" s="490"/>
    </row>
    <row r="373" spans="1:9">
      <c r="A373" s="476"/>
      <c r="B373" s="476"/>
      <c r="C373" s="476"/>
      <c r="D373" s="1273"/>
      <c r="E373" s="1273"/>
      <c r="F373" s="1273"/>
      <c r="I373" s="490"/>
    </row>
    <row r="374" spans="1:9">
      <c r="A374" s="476"/>
      <c r="B374" s="476"/>
      <c r="C374" s="476"/>
      <c r="D374" s="451"/>
      <c r="E374" s="451"/>
      <c r="F374" s="451"/>
      <c r="I374" s="490"/>
    </row>
    <row r="375" spans="1:9" ht="12.4" customHeight="1">
      <c r="A375" s="476"/>
      <c r="B375" s="485" t="s">
        <v>2732</v>
      </c>
      <c r="C375" s="476"/>
      <c r="D375" s="1281" t="s">
        <v>1220</v>
      </c>
      <c r="E375" s="1281"/>
      <c r="F375" s="1281"/>
      <c r="I375" s="490"/>
    </row>
    <row r="376" spans="1:9">
      <c r="A376" s="476"/>
      <c r="B376" s="476"/>
      <c r="C376" s="476"/>
      <c r="D376" s="1281"/>
      <c r="E376" s="1281"/>
      <c r="F376" s="1281"/>
      <c r="I376" s="490"/>
    </row>
    <row r="377" spans="1:9">
      <c r="A377" s="476"/>
      <c r="B377" s="476"/>
      <c r="C377" s="476"/>
      <c r="D377" s="1281"/>
      <c r="E377" s="1281"/>
      <c r="F377" s="1281"/>
      <c r="I377" s="490"/>
    </row>
    <row r="378" spans="1:9">
      <c r="A378" s="476"/>
      <c r="B378" s="476"/>
      <c r="C378" s="476"/>
      <c r="D378" s="1281"/>
      <c r="E378" s="1281"/>
      <c r="F378" s="1281"/>
      <c r="I378" s="490"/>
    </row>
    <row r="379" spans="1:9">
      <c r="A379" s="476"/>
      <c r="B379" s="476"/>
      <c r="C379" s="476"/>
      <c r="D379" s="524"/>
      <c r="E379" s="524"/>
      <c r="F379" s="524"/>
      <c r="I379" s="490"/>
    </row>
    <row r="380" spans="1:9">
      <c r="A380" s="476"/>
      <c r="B380" s="485" t="s">
        <v>2732</v>
      </c>
      <c r="C380" s="476"/>
      <c r="D380" s="402" t="s">
        <v>1833</v>
      </c>
      <c r="E380" s="524"/>
      <c r="F380" s="524"/>
      <c r="I380" s="490"/>
    </row>
    <row r="381" spans="1:9">
      <c r="A381" s="476"/>
      <c r="B381" s="476"/>
      <c r="C381" s="476"/>
      <c r="D381" s="402" t="s">
        <v>1834</v>
      </c>
      <c r="E381" s="524"/>
      <c r="F381" s="524"/>
      <c r="I381" s="490"/>
    </row>
    <row r="382" spans="1:9">
      <c r="A382" s="476"/>
      <c r="B382" s="476"/>
      <c r="C382" s="476"/>
      <c r="D382" s="402" t="s">
        <v>1835</v>
      </c>
      <c r="E382" s="524"/>
      <c r="F382" s="524"/>
      <c r="I382" s="490"/>
    </row>
    <row r="383" spans="1:9">
      <c r="A383" s="476"/>
      <c r="B383" s="476"/>
      <c r="C383" s="476"/>
      <c r="D383" s="402" t="s">
        <v>1836</v>
      </c>
      <c r="E383" s="524"/>
      <c r="F383" s="524"/>
      <c r="I383" s="490"/>
    </row>
    <row r="384" spans="1:9">
      <c r="A384" s="476"/>
      <c r="B384" s="476"/>
      <c r="C384" s="476"/>
      <c r="D384" s="402" t="s">
        <v>1837</v>
      </c>
      <c r="E384" s="524"/>
      <c r="F384" s="524"/>
      <c r="I384" s="490"/>
    </row>
    <row r="385" spans="1:9">
      <c r="A385" s="476"/>
      <c r="B385" s="476"/>
      <c r="C385" s="476"/>
      <c r="D385" s="402" t="s">
        <v>1838</v>
      </c>
      <c r="E385" s="524"/>
      <c r="F385" s="524"/>
      <c r="I385" s="490"/>
    </row>
    <row r="386" spans="1:9">
      <c r="A386" s="476"/>
      <c r="B386" s="476"/>
      <c r="C386" s="476"/>
      <c r="E386" s="447"/>
      <c r="F386" s="446"/>
      <c r="I386" s="490"/>
    </row>
    <row r="387" spans="1:9" ht="14.25">
      <c r="A387" s="484"/>
      <c r="B387" s="485" t="s">
        <v>2732</v>
      </c>
      <c r="C387" s="476"/>
      <c r="D387" s="1273" t="s">
        <v>1132</v>
      </c>
      <c r="E387" s="1273"/>
      <c r="F387" s="1273"/>
      <c r="I387" s="490"/>
    </row>
    <row r="388" spans="1:9">
      <c r="A388" s="476"/>
      <c r="B388" s="476"/>
      <c r="C388" s="476"/>
      <c r="D388" s="1273"/>
      <c r="E388" s="1273"/>
      <c r="F388" s="1273"/>
      <c r="I388" s="490"/>
    </row>
    <row r="389" spans="1:9">
      <c r="A389" s="476"/>
      <c r="B389" s="476"/>
      <c r="C389" s="476"/>
      <c r="D389" s="1273"/>
      <c r="E389" s="1273"/>
      <c r="F389" s="1273"/>
      <c r="I389" s="490"/>
    </row>
    <row r="390" spans="1:9">
      <c r="A390" s="476"/>
      <c r="B390" s="476"/>
      <c r="C390" s="476"/>
      <c r="D390" s="1273"/>
      <c r="E390" s="1273"/>
      <c r="F390" s="1273"/>
      <c r="I390" s="490"/>
    </row>
    <row r="391" spans="1:9">
      <c r="A391" s="476"/>
      <c r="B391" s="476"/>
      <c r="C391" s="476"/>
      <c r="D391" s="447"/>
      <c r="E391" s="447"/>
      <c r="F391" s="446"/>
      <c r="I391" s="490"/>
    </row>
    <row r="392" spans="1:9">
      <c r="A392" s="476"/>
      <c r="B392" s="476"/>
      <c r="C392" s="476"/>
      <c r="D392" s="1273" t="s">
        <v>1133</v>
      </c>
      <c r="E392" s="1273"/>
      <c r="F392" s="1273"/>
      <c r="I392" s="490"/>
    </row>
    <row r="393" spans="1:9">
      <c r="A393" s="476"/>
      <c r="B393" s="476"/>
      <c r="C393" s="476"/>
      <c r="D393" s="1273"/>
      <c r="E393" s="1273"/>
      <c r="F393" s="1273"/>
      <c r="I393" s="490"/>
    </row>
    <row r="394" spans="1:9">
      <c r="A394" s="476"/>
      <c r="B394" s="476"/>
      <c r="C394" s="476"/>
      <c r="D394" s="1273"/>
      <c r="E394" s="1273"/>
      <c r="F394" s="1273"/>
      <c r="I394" s="490"/>
    </row>
    <row r="395" spans="1:9">
      <c r="A395" s="476"/>
      <c r="B395" s="476"/>
      <c r="C395" s="476"/>
      <c r="D395" s="1273"/>
      <c r="E395" s="1273"/>
      <c r="F395" s="1273"/>
      <c r="I395" s="490"/>
    </row>
    <row r="396" spans="1:9" ht="18" customHeight="1">
      <c r="A396" s="476"/>
      <c r="B396" s="476"/>
      <c r="C396" s="476"/>
      <c r="D396" s="1273"/>
      <c r="E396" s="1273"/>
      <c r="F396" s="1273"/>
      <c r="I396" s="490"/>
    </row>
    <row r="397" spans="1:9">
      <c r="A397" s="476"/>
      <c r="B397" s="476"/>
      <c r="C397" s="476"/>
      <c r="D397" s="1273"/>
      <c r="E397" s="1273"/>
      <c r="F397" s="1273"/>
      <c r="I397" s="490"/>
    </row>
    <row r="398" spans="1:9">
      <c r="A398" s="476"/>
      <c r="B398" s="476"/>
      <c r="C398" s="476"/>
      <c r="D398" s="1273"/>
      <c r="E398" s="1273"/>
      <c r="F398" s="1273"/>
      <c r="I398" s="490"/>
    </row>
    <row r="399" spans="1:9">
      <c r="A399" s="476"/>
      <c r="B399" s="476"/>
      <c r="C399" s="476"/>
      <c r="D399" s="1273"/>
      <c r="E399" s="1273"/>
      <c r="F399" s="1273"/>
      <c r="I399" s="490"/>
    </row>
    <row r="400" spans="1:9" ht="8.25" customHeight="1">
      <c r="A400" s="476"/>
      <c r="B400" s="476"/>
      <c r="C400" s="476"/>
      <c r="D400" s="1273"/>
      <c r="E400" s="1273"/>
      <c r="F400" s="1273"/>
      <c r="I400" s="490"/>
    </row>
    <row r="401" spans="1:9" ht="13.7" customHeight="1">
      <c r="A401" s="476"/>
      <c r="B401" s="476"/>
      <c r="C401" s="476"/>
      <c r="D401" s="1273" t="s">
        <v>1134</v>
      </c>
      <c r="E401" s="1273"/>
      <c r="F401" s="1273"/>
      <c r="I401" s="490"/>
    </row>
    <row r="402" spans="1:9">
      <c r="A402" s="476"/>
      <c r="B402" s="476"/>
      <c r="C402" s="476"/>
      <c r="D402" s="1273"/>
      <c r="E402" s="1273"/>
      <c r="F402" s="1273"/>
      <c r="I402" s="490"/>
    </row>
    <row r="403" spans="1:9">
      <c r="A403" s="476"/>
      <c r="B403" s="476"/>
      <c r="C403" s="476"/>
      <c r="D403" s="1273"/>
      <c r="E403" s="1273"/>
      <c r="F403" s="1273"/>
      <c r="I403" s="490"/>
    </row>
    <row r="404" spans="1:9">
      <c r="A404" s="476"/>
      <c r="B404" s="476"/>
      <c r="C404" s="476"/>
      <c r="D404" s="1273"/>
      <c r="E404" s="1273"/>
      <c r="F404" s="1273"/>
      <c r="I404" s="490"/>
    </row>
    <row r="405" spans="1:9">
      <c r="A405" s="476"/>
      <c r="B405" s="476"/>
      <c r="C405" s="476"/>
      <c r="D405" s="1273"/>
      <c r="E405" s="1273"/>
      <c r="F405" s="1273"/>
      <c r="I405" s="490"/>
    </row>
    <row r="406" spans="1:9">
      <c r="A406" s="476"/>
      <c r="B406" s="476"/>
      <c r="C406" s="476"/>
      <c r="D406" s="1273"/>
      <c r="E406" s="1273"/>
      <c r="F406" s="1273"/>
      <c r="I406" s="490"/>
    </row>
    <row r="407" spans="1:9">
      <c r="A407" s="476"/>
      <c r="B407" s="476"/>
      <c r="C407" s="476"/>
      <c r="D407" s="1273"/>
      <c r="E407" s="1273"/>
      <c r="F407" s="1273"/>
      <c r="I407" s="490"/>
    </row>
    <row r="408" spans="1:9">
      <c r="A408" s="476"/>
      <c r="B408" s="476"/>
      <c r="C408" s="476"/>
      <c r="D408" s="1273"/>
      <c r="E408" s="1273"/>
      <c r="F408" s="1273"/>
      <c r="I408" s="490"/>
    </row>
    <row r="409" spans="1:9">
      <c r="A409" s="476"/>
      <c r="B409" s="476"/>
      <c r="C409" s="476"/>
      <c r="D409" s="1273"/>
      <c r="E409" s="1273"/>
      <c r="F409" s="1273"/>
      <c r="I409" s="490"/>
    </row>
    <row r="410" spans="1:9">
      <c r="A410" s="476"/>
      <c r="B410" s="476"/>
      <c r="C410" s="476"/>
      <c r="D410" s="1273"/>
      <c r="E410" s="1273"/>
      <c r="F410" s="1273"/>
      <c r="I410" s="490"/>
    </row>
    <row r="411" spans="1:9">
      <c r="A411" s="476"/>
      <c r="B411" s="476"/>
      <c r="C411" s="476"/>
      <c r="D411" s="1273"/>
      <c r="E411" s="1273"/>
      <c r="F411" s="1273"/>
      <c r="I411" s="490"/>
    </row>
    <row r="412" spans="1:9">
      <c r="A412" s="476"/>
      <c r="B412" s="476"/>
      <c r="C412" s="476"/>
      <c r="D412" s="1273"/>
      <c r="E412" s="1273"/>
      <c r="F412" s="1273"/>
      <c r="I412" s="490"/>
    </row>
    <row r="413" spans="1:9">
      <c r="A413" s="476"/>
      <c r="B413" s="476"/>
      <c r="C413" s="496"/>
      <c r="D413" s="1273"/>
      <c r="E413" s="1273"/>
      <c r="F413" s="1273"/>
      <c r="I413" s="490"/>
    </row>
    <row r="414" spans="1:9">
      <c r="A414" s="476"/>
      <c r="B414" s="476"/>
      <c r="C414" s="496"/>
      <c r="D414" s="1273"/>
      <c r="E414" s="1273"/>
      <c r="F414" s="1273"/>
      <c r="I414" s="490"/>
    </row>
    <row r="415" spans="1:9">
      <c r="A415" s="476"/>
      <c r="B415" s="476"/>
      <c r="C415" s="476"/>
      <c r="D415" s="1273"/>
      <c r="E415" s="1273"/>
      <c r="F415" s="1273"/>
      <c r="I415" s="490"/>
    </row>
    <row r="416" spans="1:9">
      <c r="A416" s="476"/>
      <c r="B416" s="476"/>
      <c r="C416" s="496"/>
      <c r="D416" s="1273"/>
      <c r="E416" s="1273"/>
      <c r="F416" s="1273"/>
      <c r="I416" s="490"/>
    </row>
    <row r="417" spans="1:9">
      <c r="A417" s="476"/>
      <c r="B417" s="476"/>
      <c r="C417" s="496"/>
      <c r="D417" s="1273"/>
      <c r="E417" s="1273"/>
      <c r="F417" s="1273"/>
      <c r="I417" s="490"/>
    </row>
    <row r="418" spans="1:9">
      <c r="A418" s="476"/>
      <c r="B418" s="476"/>
      <c r="C418" s="496"/>
      <c r="D418" s="1273"/>
      <c r="E418" s="1273"/>
      <c r="F418" s="1273"/>
      <c r="I418" s="490"/>
    </row>
    <row r="419" spans="1:9">
      <c r="A419" s="476"/>
      <c r="B419" s="476"/>
      <c r="C419" s="476"/>
      <c r="D419" s="447"/>
      <c r="E419" s="447"/>
      <c r="F419" s="446"/>
      <c r="I419" s="490"/>
    </row>
    <row r="420" spans="1:9">
      <c r="A420" s="476"/>
      <c r="B420" s="485" t="s">
        <v>2732</v>
      </c>
      <c r="C420" s="476"/>
      <c r="D420" s="1273" t="s">
        <v>1135</v>
      </c>
      <c r="E420" s="1273"/>
      <c r="F420" s="1273"/>
      <c r="I420" s="490"/>
    </row>
    <row r="421" spans="1:9">
      <c r="A421" s="476"/>
      <c r="B421" s="476"/>
      <c r="C421" s="476"/>
      <c r="D421" s="1273"/>
      <c r="E421" s="1273"/>
      <c r="F421" s="1273"/>
      <c r="I421" s="490"/>
    </row>
    <row r="422" spans="1:9">
      <c r="A422" s="476"/>
      <c r="B422" s="476"/>
      <c r="C422" s="476"/>
      <c r="D422" s="451"/>
      <c r="E422" s="451"/>
      <c r="F422" s="451"/>
      <c r="I422" s="490"/>
    </row>
    <row r="423" spans="1:9" ht="14.45" customHeight="1">
      <c r="A423" s="484"/>
      <c r="B423" s="485" t="s">
        <v>2732</v>
      </c>
      <c r="D423" s="1273" t="s">
        <v>1881</v>
      </c>
      <c r="E423" s="1273"/>
      <c r="F423" s="1273"/>
      <c r="I423" s="490"/>
    </row>
    <row r="424" spans="1:9" ht="14.45" customHeight="1">
      <c r="A424" s="484"/>
      <c r="D424" s="1273"/>
      <c r="E424" s="1273"/>
      <c r="F424" s="1273"/>
      <c r="I424" s="490"/>
    </row>
    <row r="425" spans="1:9" ht="14.45" customHeight="1">
      <c r="A425" s="484"/>
      <c r="D425" s="1273"/>
      <c r="E425" s="1273"/>
      <c r="F425" s="1273"/>
      <c r="I425" s="490"/>
    </row>
    <row r="426" spans="1:9" ht="14.45" customHeight="1">
      <c r="A426" s="484"/>
      <c r="D426" s="1273"/>
      <c r="E426" s="1273"/>
      <c r="F426" s="1273"/>
      <c r="I426" s="490"/>
    </row>
    <row r="427" spans="1:9" ht="14.45" customHeight="1">
      <c r="A427" s="484"/>
      <c r="D427" s="1273"/>
      <c r="E427" s="1273"/>
      <c r="F427" s="1273"/>
      <c r="I427" s="490"/>
    </row>
    <row r="428" spans="1:9" ht="14.45" customHeight="1">
      <c r="A428" s="484"/>
      <c r="D428" s="385"/>
      <c r="E428" s="385"/>
      <c r="F428" s="385"/>
      <c r="I428" s="490"/>
    </row>
    <row r="429" spans="1:9" ht="13.7" customHeight="1">
      <c r="A429" s="484"/>
      <c r="B429" s="485" t="s">
        <v>2732</v>
      </c>
      <c r="C429" s="476"/>
      <c r="D429" s="1273" t="s">
        <v>1239</v>
      </c>
      <c r="E429" s="1273"/>
      <c r="F429" s="1273"/>
      <c r="I429" s="490"/>
    </row>
    <row r="430" spans="1:9" ht="14.25">
      <c r="A430" s="497"/>
      <c r="B430" s="497"/>
      <c r="C430" s="476"/>
      <c r="D430" s="1273"/>
      <c r="E430" s="1273"/>
      <c r="F430" s="1273"/>
      <c r="I430" s="490"/>
    </row>
    <row r="431" spans="1:9" ht="14.25">
      <c r="A431" s="497"/>
      <c r="B431" s="497"/>
      <c r="C431" s="476"/>
      <c r="D431" s="1273"/>
      <c r="E431" s="1273"/>
      <c r="F431" s="1273"/>
      <c r="I431" s="490"/>
    </row>
    <row r="432" spans="1:9" ht="14.25">
      <c r="A432" s="497"/>
      <c r="B432" s="497"/>
      <c r="C432" s="476"/>
      <c r="D432" s="1273"/>
      <c r="E432" s="1273"/>
      <c r="F432" s="1273"/>
      <c r="I432" s="490"/>
    </row>
    <row r="433" spans="1:9" ht="15.75" customHeight="1">
      <c r="A433" s="497"/>
      <c r="B433" s="497"/>
      <c r="C433" s="476"/>
      <c r="D433" s="1331" t="s">
        <v>2073</v>
      </c>
      <c r="E433" s="1273"/>
      <c r="F433" s="1273"/>
      <c r="I433" s="490"/>
    </row>
    <row r="434" spans="1:9">
      <c r="D434" s="446"/>
      <c r="E434" s="446"/>
      <c r="F434" s="446"/>
      <c r="I434" s="490"/>
    </row>
    <row r="435" spans="1:9" ht="14.25">
      <c r="A435" s="484"/>
      <c r="B435" s="485" t="s">
        <v>2732</v>
      </c>
      <c r="C435" s="487"/>
      <c r="D435" s="1302" t="s">
        <v>2058</v>
      </c>
      <c r="E435" s="1302"/>
      <c r="F435" s="1302"/>
      <c r="I435" s="490"/>
    </row>
    <row r="436" spans="1:9" ht="14.25">
      <c r="A436" s="484"/>
      <c r="B436" s="484"/>
      <c r="D436" s="1302"/>
      <c r="E436" s="1302"/>
      <c r="F436" s="1302"/>
      <c r="I436" s="490"/>
    </row>
    <row r="437" spans="1:9">
      <c r="D437" s="1302"/>
      <c r="E437" s="1302"/>
      <c r="F437" s="1302"/>
      <c r="I437" s="490"/>
    </row>
    <row r="438" spans="1:9">
      <c r="D438" s="1302"/>
      <c r="E438" s="1302"/>
      <c r="F438" s="1302"/>
      <c r="I438" s="490"/>
    </row>
    <row r="439" spans="1:9">
      <c r="D439" s="1302"/>
      <c r="E439" s="1302"/>
      <c r="F439" s="1302"/>
      <c r="I439" s="490"/>
    </row>
    <row r="440" spans="1:9">
      <c r="D440" s="1302"/>
      <c r="E440" s="1302"/>
      <c r="F440" s="1302"/>
      <c r="I440" s="490"/>
    </row>
    <row r="441" spans="1:9">
      <c r="D441" s="1302"/>
      <c r="E441" s="1302"/>
      <c r="F441" s="1302"/>
      <c r="I441" s="490"/>
    </row>
    <row r="442" spans="1:9">
      <c r="D442" s="1302"/>
      <c r="E442" s="1302"/>
      <c r="F442" s="1302"/>
      <c r="I442" s="490"/>
    </row>
    <row r="443" spans="1:9">
      <c r="D443" s="1302"/>
      <c r="E443" s="1302"/>
      <c r="F443" s="1302"/>
      <c r="I443" s="490"/>
    </row>
    <row r="444" spans="1:9">
      <c r="D444" s="1302"/>
      <c r="E444" s="1302"/>
      <c r="F444" s="1302"/>
      <c r="I444" s="490"/>
    </row>
    <row r="445" spans="1:9">
      <c r="D445" s="1302"/>
      <c r="E445" s="1302"/>
      <c r="F445" s="1302"/>
      <c r="I445" s="490"/>
    </row>
    <row r="446" spans="1:9">
      <c r="D446" s="1302"/>
      <c r="E446" s="1302"/>
      <c r="F446" s="1302"/>
      <c r="I446" s="490"/>
    </row>
    <row r="447" spans="1:9">
      <c r="D447" s="1302"/>
      <c r="E447" s="1302"/>
      <c r="F447" s="1302"/>
      <c r="I447" s="490"/>
    </row>
    <row r="448" spans="1:9">
      <c r="A448" s="402"/>
      <c r="B448" s="402"/>
      <c r="C448" s="402"/>
      <c r="D448" s="1302"/>
      <c r="E448" s="1302"/>
      <c r="F448" s="1302"/>
      <c r="I448" s="490"/>
    </row>
    <row r="449" spans="1:9">
      <c r="A449" s="402"/>
      <c r="B449" s="402"/>
      <c r="C449" s="402"/>
      <c r="D449" s="1302"/>
      <c r="E449" s="1302"/>
      <c r="F449" s="1302"/>
      <c r="I449" s="490"/>
    </row>
    <row r="450" spans="1:9">
      <c r="A450" s="402"/>
      <c r="B450" s="402"/>
      <c r="C450" s="402"/>
      <c r="D450" s="1302"/>
      <c r="E450" s="1302"/>
      <c r="F450" s="1302"/>
      <c r="I450" s="490"/>
    </row>
    <row r="451" spans="1:9">
      <c r="A451" s="402"/>
      <c r="B451" s="402"/>
      <c r="C451" s="402"/>
      <c r="D451" s="1302"/>
      <c r="E451" s="1302"/>
      <c r="F451" s="1302"/>
      <c r="I451" s="490"/>
    </row>
    <row r="452" spans="1:9">
      <c r="A452" s="402"/>
      <c r="B452" s="402"/>
      <c r="C452" s="402"/>
      <c r="D452" s="1302"/>
      <c r="E452" s="1302"/>
      <c r="F452" s="1302"/>
      <c r="I452" s="490"/>
    </row>
    <row r="453" spans="1:9">
      <c r="A453" s="402"/>
      <c r="B453" s="402"/>
      <c r="C453" s="402"/>
      <c r="D453" s="1302"/>
      <c r="E453" s="1302"/>
      <c r="F453" s="1302"/>
      <c r="I453" s="490"/>
    </row>
    <row r="454" spans="1:9">
      <c r="A454" s="402"/>
      <c r="B454" s="402"/>
      <c r="C454" s="402"/>
      <c r="D454" s="1302"/>
      <c r="E454" s="1302"/>
      <c r="F454" s="1302"/>
      <c r="I454" s="490"/>
    </row>
    <row r="455" spans="1:9">
      <c r="A455" s="402"/>
      <c r="B455" s="402"/>
      <c r="C455" s="402"/>
      <c r="D455" s="1302"/>
      <c r="E455" s="1302"/>
      <c r="F455" s="1302"/>
      <c r="I455" s="490"/>
    </row>
    <row r="456" spans="1:9">
      <c r="A456" s="402"/>
      <c r="B456" s="402"/>
      <c r="C456" s="402"/>
      <c r="D456" s="1302"/>
      <c r="E456" s="1302"/>
      <c r="F456" s="1302"/>
      <c r="I456" s="490"/>
    </row>
    <row r="457" spans="1:9">
      <c r="A457" s="402"/>
      <c r="B457" s="402"/>
      <c r="C457" s="402"/>
      <c r="D457" s="1302"/>
      <c r="E457" s="1302"/>
      <c r="F457" s="1302"/>
      <c r="I457" s="490"/>
    </row>
    <row r="458" spans="1:9">
      <c r="A458" s="402"/>
      <c r="B458" s="402"/>
      <c r="C458" s="402"/>
      <c r="D458" s="1302"/>
      <c r="E458" s="1302"/>
      <c r="F458" s="1302"/>
      <c r="I458" s="490"/>
    </row>
    <row r="459" spans="1:9">
      <c r="A459" s="402"/>
      <c r="B459" s="402"/>
      <c r="C459" s="402"/>
      <c r="D459" s="1302"/>
      <c r="E459" s="1302"/>
      <c r="F459" s="1302"/>
      <c r="I459" s="490"/>
    </row>
    <row r="460" spans="1:9">
      <c r="A460" s="402"/>
      <c r="B460" s="402"/>
      <c r="C460" s="402"/>
      <c r="D460" s="1302"/>
      <c r="E460" s="1302"/>
      <c r="F460" s="1302"/>
      <c r="I460" s="490"/>
    </row>
    <row r="461" spans="1:9">
      <c r="A461" s="402"/>
      <c r="B461" s="402"/>
      <c r="C461" s="402"/>
      <c r="D461" s="1302"/>
      <c r="E461" s="1302"/>
      <c r="F461" s="1302"/>
      <c r="I461" s="490"/>
    </row>
    <row r="462" spans="1:9">
      <c r="A462" s="402"/>
      <c r="B462" s="402"/>
      <c r="C462" s="402"/>
      <c r="D462" s="1302"/>
      <c r="E462" s="1302"/>
      <c r="F462" s="1302"/>
      <c r="I462" s="490"/>
    </row>
    <row r="463" spans="1:9">
      <c r="A463" s="402"/>
      <c r="B463" s="402"/>
      <c r="C463" s="402"/>
      <c r="D463" s="1302"/>
      <c r="E463" s="1302"/>
      <c r="F463" s="1302"/>
      <c r="I463" s="490"/>
    </row>
    <row r="464" spans="1:9">
      <c r="D464" s="1302"/>
      <c r="E464" s="1302"/>
      <c r="F464" s="1302"/>
      <c r="I464" s="490"/>
    </row>
    <row r="465" spans="1:9" ht="40.700000000000003" customHeight="1">
      <c r="D465" s="1302"/>
      <c r="E465" s="1302"/>
      <c r="F465" s="1302"/>
      <c r="I465" s="490"/>
    </row>
    <row r="466" spans="1:9">
      <c r="D466" s="446"/>
      <c r="E466" s="446"/>
      <c r="F466" s="446"/>
      <c r="I466" s="490"/>
    </row>
    <row r="467" spans="1:9" ht="14.25">
      <c r="A467" s="484"/>
      <c r="B467" s="485" t="s">
        <v>2732</v>
      </c>
      <c r="C467" s="487"/>
      <c r="D467" s="1302" t="s">
        <v>1136</v>
      </c>
      <c r="E467" s="1302"/>
      <c r="F467" s="1302"/>
      <c r="I467" s="490"/>
    </row>
    <row r="468" spans="1:9">
      <c r="D468" s="1302"/>
      <c r="E468" s="1302"/>
      <c r="F468" s="1302"/>
      <c r="I468" s="490"/>
    </row>
    <row r="469" spans="1:9">
      <c r="D469" s="1302"/>
      <c r="E469" s="1302"/>
      <c r="F469" s="1302"/>
      <c r="I469" s="490"/>
    </row>
    <row r="470" spans="1:9">
      <c r="D470" s="445"/>
      <c r="E470" s="445"/>
      <c r="F470" s="445"/>
      <c r="I470" s="490"/>
    </row>
    <row r="471" spans="1:9" ht="14.25">
      <c r="B471" s="485" t="s">
        <v>2732</v>
      </c>
      <c r="C471" s="484"/>
      <c r="D471" s="1302" t="s">
        <v>1196</v>
      </c>
      <c r="E471" s="1302"/>
      <c r="F471" s="1302"/>
      <c r="I471" s="490"/>
    </row>
    <row r="472" spans="1:9">
      <c r="D472" s="1302"/>
      <c r="E472" s="1302"/>
      <c r="F472" s="1302"/>
      <c r="I472" s="490"/>
    </row>
    <row r="473" spans="1:9">
      <c r="D473" s="446"/>
      <c r="E473" s="446"/>
      <c r="F473" s="446"/>
      <c r="I473" s="490"/>
    </row>
    <row r="474" spans="1:9" ht="14.25">
      <c r="B474" s="485" t="s">
        <v>2732</v>
      </c>
      <c r="C474" s="484"/>
      <c r="D474" s="1302" t="s">
        <v>1137</v>
      </c>
      <c r="E474" s="1302"/>
      <c r="F474" s="1302"/>
      <c r="I474" s="490"/>
    </row>
    <row r="475" spans="1:9">
      <c r="D475" s="1302"/>
      <c r="E475" s="1302"/>
      <c r="F475" s="1302"/>
      <c r="I475" s="490"/>
    </row>
    <row r="476" spans="1:9">
      <c r="D476" s="1302"/>
      <c r="E476" s="1302"/>
      <c r="F476" s="1302"/>
      <c r="I476" s="490"/>
    </row>
    <row r="477" spans="1:9">
      <c r="D477" s="1302"/>
      <c r="E477" s="1302"/>
      <c r="F477" s="1302"/>
      <c r="I477" s="490"/>
    </row>
    <row r="478" spans="1:9">
      <c r="B478" s="485" t="s">
        <v>2732</v>
      </c>
      <c r="D478" s="1302"/>
      <c r="E478" s="1302"/>
      <c r="F478" s="1302"/>
      <c r="I478" s="490"/>
    </row>
    <row r="479" spans="1:9">
      <c r="A479" s="402"/>
      <c r="B479" s="402"/>
      <c r="C479" s="402"/>
      <c r="D479" s="1302"/>
      <c r="E479" s="1302"/>
      <c r="F479" s="1302"/>
      <c r="I479" s="490"/>
    </row>
    <row r="480" spans="1:9">
      <c r="A480" s="402"/>
      <c r="C480" s="402"/>
      <c r="D480" s="1302"/>
      <c r="E480" s="1302"/>
      <c r="F480" s="1302"/>
      <c r="I480" s="490"/>
    </row>
    <row r="481" spans="1:9">
      <c r="A481" s="402"/>
      <c r="B481" s="485" t="s">
        <v>2732</v>
      </c>
      <c r="C481" s="402"/>
      <c r="D481" s="1302"/>
      <c r="E481" s="1302"/>
      <c r="F481" s="1302"/>
      <c r="I481" s="490"/>
    </row>
    <row r="482" spans="1:9">
      <c r="A482" s="402"/>
      <c r="B482" s="402"/>
      <c r="C482" s="402"/>
      <c r="D482" s="1302"/>
      <c r="E482" s="1302"/>
      <c r="F482" s="1302"/>
      <c r="I482" s="490"/>
    </row>
    <row r="483" spans="1:9">
      <c r="A483" s="402"/>
      <c r="C483" s="402"/>
      <c r="D483" s="1302"/>
      <c r="E483" s="1302"/>
      <c r="F483" s="1302"/>
      <c r="I483" s="490"/>
    </row>
    <row r="484" spans="1:9">
      <c r="A484" s="402"/>
      <c r="C484" s="402"/>
      <c r="D484" s="1302"/>
      <c r="E484" s="1302"/>
      <c r="F484" s="1302"/>
      <c r="I484" s="490"/>
    </row>
    <row r="485" spans="1:9">
      <c r="A485" s="402"/>
      <c r="C485" s="402"/>
      <c r="D485" s="1302"/>
      <c r="E485" s="1302"/>
      <c r="F485" s="1302"/>
      <c r="I485" s="490"/>
    </row>
    <row r="486" spans="1:9">
      <c r="A486" s="402"/>
      <c r="B486" s="485" t="s">
        <v>2732</v>
      </c>
      <c r="C486" s="402"/>
      <c r="D486" s="1302"/>
      <c r="E486" s="1302"/>
      <c r="F486" s="1302"/>
      <c r="I486" s="490"/>
    </row>
    <row r="487" spans="1:9">
      <c r="A487" s="402"/>
      <c r="C487" s="402"/>
      <c r="D487" s="1302"/>
      <c r="E487" s="1302"/>
      <c r="F487" s="1302"/>
      <c r="I487" s="490"/>
    </row>
    <row r="488" spans="1:9">
      <c r="A488" s="402"/>
      <c r="B488" s="485" t="s">
        <v>2732</v>
      </c>
      <c r="C488" s="402"/>
      <c r="D488" s="1302" t="s">
        <v>1138</v>
      </c>
      <c r="E488" s="1302"/>
      <c r="F488" s="1302"/>
      <c r="I488" s="490"/>
    </row>
    <row r="489" spans="1:9">
      <c r="A489" s="402"/>
      <c r="B489" s="402"/>
      <c r="C489" s="402"/>
      <c r="D489" s="1302"/>
      <c r="E489" s="1302"/>
      <c r="F489" s="1302"/>
      <c r="I489" s="490"/>
    </row>
    <row r="490" spans="1:9">
      <c r="A490" s="402"/>
      <c r="B490" s="402"/>
      <c r="C490" s="402"/>
      <c r="D490" s="1302"/>
      <c r="E490" s="1302"/>
      <c r="F490" s="1302"/>
      <c r="I490" s="490"/>
    </row>
    <row r="491" spans="1:9">
      <c r="A491" s="402"/>
      <c r="B491" s="402"/>
      <c r="C491" s="402"/>
      <c r="D491" s="1302"/>
      <c r="E491" s="1302"/>
      <c r="F491" s="1302"/>
      <c r="I491" s="490"/>
    </row>
    <row r="492" spans="1:9">
      <c r="D492" s="1302"/>
      <c r="E492" s="1302"/>
      <c r="F492" s="1302"/>
      <c r="I492" s="490"/>
    </row>
    <row r="493" spans="1:9">
      <c r="D493" s="446"/>
      <c r="E493" s="446"/>
      <c r="F493" s="446"/>
      <c r="I493" s="490"/>
    </row>
    <row r="494" spans="1:9">
      <c r="B494" s="485" t="s">
        <v>2732</v>
      </c>
      <c r="D494" s="1300" t="s">
        <v>1139</v>
      </c>
      <c r="E494" s="1300"/>
      <c r="F494" s="1300"/>
      <c r="I494" s="490"/>
    </row>
    <row r="495" spans="1:9">
      <c r="A495" s="446"/>
      <c r="B495" s="446"/>
      <c r="I495" s="490"/>
    </row>
    <row r="496" spans="1:9">
      <c r="A496" s="1309" t="s">
        <v>1049</v>
      </c>
      <c r="B496" s="1309"/>
      <c r="C496" s="1309"/>
      <c r="D496" s="1309"/>
      <c r="E496" s="1309"/>
      <c r="F496" s="1309"/>
      <c r="G496" s="1309"/>
      <c r="H496" s="1028"/>
      <c r="I496" s="1153"/>
    </row>
    <row r="497" spans="1:9">
      <c r="A497" s="446"/>
      <c r="B497" s="446"/>
      <c r="I497" s="490"/>
    </row>
    <row r="498" spans="1:9">
      <c r="D498" s="1328" t="s">
        <v>883</v>
      </c>
      <c r="E498" s="1328"/>
      <c r="F498" s="1328"/>
      <c r="I498" s="490"/>
    </row>
    <row r="499" spans="1:9" ht="14.25">
      <c r="A499" s="484"/>
      <c r="B499" s="484"/>
      <c r="D499" s="1319" t="s">
        <v>1140</v>
      </c>
      <c r="E499" s="1319"/>
      <c r="F499" s="1319"/>
      <c r="I499" s="490"/>
    </row>
    <row r="500" spans="1:9" ht="14.25">
      <c r="A500" s="484"/>
      <c r="B500" s="484"/>
      <c r="D500" s="447"/>
      <c r="I500" s="490"/>
    </row>
    <row r="501" spans="1:9" ht="14.25">
      <c r="A501" s="484"/>
      <c r="B501" s="485" t="s">
        <v>2732</v>
      </c>
      <c r="D501" s="1273" t="s">
        <v>1141</v>
      </c>
      <c r="E501" s="1273"/>
      <c r="F501" s="1273"/>
      <c r="I501" s="490"/>
    </row>
    <row r="502" spans="1:9" ht="14.25">
      <c r="A502" s="484"/>
      <c r="B502" s="484"/>
      <c r="D502" s="1273"/>
      <c r="E502" s="1273"/>
      <c r="F502" s="1273"/>
      <c r="I502" s="490"/>
    </row>
    <row r="503" spans="1:9" ht="14.25">
      <c r="A503" s="484"/>
      <c r="B503" s="484"/>
      <c r="D503" s="446"/>
      <c r="I503" s="490"/>
    </row>
    <row r="504" spans="1:9" ht="12.75" customHeight="1">
      <c r="B504" s="485" t="s">
        <v>2732</v>
      </c>
      <c r="D504" s="1314" t="s">
        <v>1272</v>
      </c>
      <c r="E504" s="1314"/>
      <c r="F504" s="1314"/>
      <c r="I504" s="490"/>
    </row>
    <row r="505" spans="1:9" ht="14.25">
      <c r="A505" s="484"/>
      <c r="D505" s="1314"/>
      <c r="E505" s="1314"/>
      <c r="F505" s="1314"/>
      <c r="I505" s="490"/>
    </row>
    <row r="506" spans="1:9" ht="14.25">
      <c r="A506" s="484"/>
      <c r="B506" s="484"/>
      <c r="D506" s="1314"/>
      <c r="E506" s="1314"/>
      <c r="F506" s="1314"/>
      <c r="I506" s="490"/>
    </row>
    <row r="507" spans="1:9" ht="14.25">
      <c r="A507" s="484"/>
      <c r="B507" s="484"/>
      <c r="D507" s="1314"/>
      <c r="E507" s="1314"/>
      <c r="F507" s="1314"/>
      <c r="I507" s="490"/>
    </row>
    <row r="508" spans="1:9" ht="14.25">
      <c r="A508" s="484"/>
      <c r="D508" s="520"/>
      <c r="E508" s="520"/>
      <c r="F508" s="520"/>
      <c r="I508" s="490"/>
    </row>
    <row r="509" spans="1:9" ht="14.25">
      <c r="A509" s="484"/>
      <c r="B509" s="485" t="s">
        <v>2732</v>
      </c>
      <c r="D509" s="1300" t="s">
        <v>1142</v>
      </c>
      <c r="E509" s="1300"/>
      <c r="F509" s="1300"/>
      <c r="I509" s="490"/>
    </row>
    <row r="510" spans="1:9" ht="14.25">
      <c r="A510" s="484"/>
      <c r="B510" s="484"/>
      <c r="D510" s="446"/>
      <c r="I510" s="490"/>
    </row>
    <row r="511" spans="1:9" ht="14.25">
      <c r="A511" s="484"/>
      <c r="B511" s="485" t="s">
        <v>2732</v>
      </c>
      <c r="D511" s="1302" t="s">
        <v>1143</v>
      </c>
      <c r="E511" s="1302"/>
      <c r="F511" s="1302"/>
      <c r="I511" s="490"/>
    </row>
    <row r="512" spans="1:9" ht="14.25">
      <c r="A512" s="484"/>
      <c r="D512" s="1302"/>
      <c r="E512" s="1302"/>
      <c r="F512" s="1302"/>
      <c r="I512" s="490"/>
    </row>
    <row r="513" spans="1:9">
      <c r="A513" s="490"/>
      <c r="B513" s="490"/>
      <c r="D513" s="447"/>
      <c r="I513" s="490"/>
    </row>
    <row r="514" spans="1:9">
      <c r="A514" s="490"/>
      <c r="B514" s="485" t="s">
        <v>2732</v>
      </c>
      <c r="D514" s="1300" t="s">
        <v>1144</v>
      </c>
      <c r="E514" s="1300"/>
      <c r="F514" s="1300"/>
      <c r="I514" s="490"/>
    </row>
    <row r="515" spans="1:9">
      <c r="D515" s="446"/>
      <c r="E515" s="446"/>
      <c r="F515" s="446"/>
      <c r="I515" s="490"/>
    </row>
    <row r="516" spans="1:9">
      <c r="B516" s="485" t="s">
        <v>2732</v>
      </c>
      <c r="D516" s="1302" t="s">
        <v>2279</v>
      </c>
      <c r="E516" s="1302"/>
      <c r="F516" s="1302"/>
      <c r="I516" s="490"/>
    </row>
    <row r="517" spans="1:9">
      <c r="D517" s="1302"/>
      <c r="E517" s="1302"/>
      <c r="F517" s="1302"/>
      <c r="I517" s="490"/>
    </row>
    <row r="518" spans="1:9">
      <c r="D518" s="1302"/>
      <c r="E518" s="1302"/>
      <c r="F518" s="1302"/>
      <c r="I518" s="490"/>
    </row>
    <row r="519" spans="1:9">
      <c r="D519" s="446"/>
      <c r="E519" s="446"/>
      <c r="F519" s="446"/>
      <c r="I519" s="490"/>
    </row>
    <row r="520" spans="1:9" ht="14.25">
      <c r="A520" s="484"/>
      <c r="B520" s="484"/>
      <c r="D520" s="446"/>
      <c r="I520" s="490"/>
    </row>
    <row r="521" spans="1:9">
      <c r="A521" s="1309" t="s">
        <v>1050</v>
      </c>
      <c r="B521" s="1309"/>
      <c r="C521" s="1309"/>
      <c r="D521" s="1309"/>
      <c r="E521" s="1309"/>
      <c r="F521" s="1309"/>
      <c r="G521" s="1309"/>
      <c r="H521" s="1028"/>
      <c r="I521" s="1153"/>
    </row>
    <row r="522" spans="1:9" ht="12" customHeight="1">
      <c r="A522" s="484"/>
      <c r="B522" s="484"/>
      <c r="D522" s="446"/>
      <c r="I522" s="490"/>
    </row>
    <row r="523" spans="1:9">
      <c r="C523" s="482"/>
      <c r="D523" s="1310" t="s">
        <v>793</v>
      </c>
      <c r="E523" s="1310"/>
      <c r="F523" s="1310"/>
      <c r="I523" s="490"/>
    </row>
    <row r="524" spans="1:9">
      <c r="C524" s="482"/>
      <c r="D524" s="506" t="s">
        <v>1198</v>
      </c>
      <c r="E524" s="506"/>
      <c r="F524" s="506"/>
      <c r="I524" s="490"/>
    </row>
    <row r="525" spans="1:9">
      <c r="C525" s="482"/>
      <c r="D525" s="506" t="s">
        <v>1199</v>
      </c>
      <c r="E525" s="506"/>
      <c r="F525" s="506"/>
      <c r="I525" s="490"/>
    </row>
    <row r="526" spans="1:9">
      <c r="C526" s="482"/>
      <c r="D526" s="481"/>
      <c r="E526" s="481"/>
      <c r="F526" s="481"/>
      <c r="I526" s="490"/>
    </row>
    <row r="527" spans="1:9" ht="13.7" customHeight="1">
      <c r="A527" s="483"/>
      <c r="B527" s="485" t="s">
        <v>2731</v>
      </c>
      <c r="C527" s="483"/>
      <c r="D527" s="1273" t="s">
        <v>2059</v>
      </c>
      <c r="E527" s="1273"/>
      <c r="F527" s="1273"/>
      <c r="I527" s="490"/>
    </row>
    <row r="528" spans="1:9">
      <c r="A528" s="483"/>
      <c r="B528" s="483"/>
      <c r="C528" s="483"/>
      <c r="D528" s="1273"/>
      <c r="E528" s="1273"/>
      <c r="F528" s="1273"/>
      <c r="I528" s="490"/>
    </row>
    <row r="529" spans="1:9">
      <c r="A529" s="483"/>
      <c r="B529" s="483"/>
      <c r="C529" s="483"/>
      <c r="D529" s="451"/>
      <c r="E529" s="451"/>
      <c r="F529" s="451"/>
      <c r="I529" s="480"/>
    </row>
    <row r="530" spans="1:9" ht="12.75" customHeight="1">
      <c r="A530" s="483"/>
      <c r="B530" s="485" t="s">
        <v>2731</v>
      </c>
      <c r="D530" s="386" t="s">
        <v>1903</v>
      </c>
      <c r="E530" s="385"/>
      <c r="F530" s="385"/>
      <c r="I530" s="490"/>
    </row>
    <row r="531" spans="1:9">
      <c r="A531" s="483"/>
      <c r="B531" s="483"/>
      <c r="C531" s="483"/>
      <c r="D531" s="385"/>
      <c r="E531" s="96" t="s">
        <v>1904</v>
      </c>
      <c r="I531" s="490"/>
    </row>
    <row r="532" spans="1:9">
      <c r="A532" s="483"/>
      <c r="B532" s="483"/>
      <c r="D532" s="1281" t="s">
        <v>2060</v>
      </c>
      <c r="E532" s="1281"/>
      <c r="F532" s="1281"/>
      <c r="I532" s="490"/>
    </row>
    <row r="533" spans="1:9">
      <c r="A533" s="483"/>
      <c r="B533" s="483"/>
      <c r="D533" s="1281"/>
      <c r="E533" s="1281"/>
      <c r="F533" s="1281"/>
      <c r="I533" s="490"/>
    </row>
    <row r="534" spans="1:9">
      <c r="A534" s="483"/>
      <c r="B534" s="483"/>
      <c r="C534" s="483"/>
      <c r="D534" s="1281"/>
      <c r="E534" s="1281"/>
      <c r="F534" s="1281"/>
      <c r="I534" s="490"/>
    </row>
    <row r="535" spans="1:9">
      <c r="A535" s="483"/>
      <c r="B535" s="483"/>
      <c r="C535" s="483"/>
      <c r="D535" s="498"/>
      <c r="F535" s="446"/>
      <c r="I535" s="490"/>
    </row>
    <row r="536" spans="1:9" ht="13.15" customHeight="1">
      <c r="A536" s="483"/>
      <c r="B536" s="485" t="s">
        <v>2732</v>
      </c>
      <c r="C536" s="483"/>
      <c r="D536" s="1302" t="s">
        <v>2061</v>
      </c>
      <c r="E536" s="1302"/>
      <c r="F536" s="1302"/>
      <c r="I536" s="490"/>
    </row>
    <row r="537" spans="1:9">
      <c r="A537" s="483"/>
      <c r="B537" s="483"/>
      <c r="C537" s="483"/>
      <c r="D537" s="1302"/>
      <c r="E537" s="1302"/>
      <c r="F537" s="1302"/>
      <c r="I537" s="490"/>
    </row>
    <row r="538" spans="1:9" ht="12" customHeight="1">
      <c r="A538" s="446"/>
      <c r="B538" s="446"/>
      <c r="C538" s="487"/>
      <c r="D538" s="446"/>
      <c r="F538" s="448"/>
      <c r="I538" s="490"/>
    </row>
    <row r="539" spans="1:9">
      <c r="A539" s="1309" t="s">
        <v>1051</v>
      </c>
      <c r="B539" s="1309"/>
      <c r="C539" s="1309"/>
      <c r="D539" s="1309"/>
      <c r="E539" s="1309"/>
      <c r="F539" s="1309"/>
      <c r="G539" s="1309"/>
      <c r="H539" s="1028"/>
      <c r="I539" s="1153"/>
    </row>
    <row r="540" spans="1:9">
      <c r="A540" s="446"/>
      <c r="B540" s="446"/>
      <c r="C540" s="487"/>
      <c r="F540" s="448"/>
      <c r="I540" s="490"/>
    </row>
    <row r="541" spans="1:9">
      <c r="B541" s="1304" t="s">
        <v>446</v>
      </c>
      <c r="C541" s="1304"/>
      <c r="D541" s="1304"/>
      <c r="E541" s="1304"/>
      <c r="F541" s="1304"/>
      <c r="I541" s="490"/>
    </row>
    <row r="542" spans="1:9">
      <c r="A542" s="446"/>
      <c r="B542" s="446"/>
      <c r="C542" s="487"/>
      <c r="D542" s="446"/>
      <c r="F542" s="446"/>
      <c r="I542" s="490"/>
    </row>
    <row r="543" spans="1:9">
      <c r="A543" s="1301" t="s">
        <v>1052</v>
      </c>
      <c r="B543" s="1301"/>
      <c r="C543" s="1301"/>
      <c r="D543" s="1301"/>
      <c r="E543" s="1301"/>
      <c r="F543" s="1301"/>
      <c r="G543" s="1301"/>
      <c r="H543" s="1028"/>
      <c r="I543" s="1153"/>
    </row>
    <row r="544" spans="1:9">
      <c r="A544" s="446"/>
      <c r="B544" s="446"/>
      <c r="C544" s="487"/>
      <c r="D544" s="446"/>
      <c r="F544" s="446"/>
      <c r="I544" s="490"/>
    </row>
    <row r="545" spans="1:9">
      <c r="C545" s="487"/>
      <c r="D545" s="1310" t="s">
        <v>683</v>
      </c>
      <c r="E545" s="1310"/>
      <c r="F545" s="1310"/>
      <c r="I545" s="490"/>
    </row>
    <row r="546" spans="1:9">
      <c r="C546" s="487"/>
      <c r="D546" s="1300" t="s">
        <v>1080</v>
      </c>
      <c r="E546" s="1300"/>
      <c r="F546" s="1300"/>
      <c r="I546" s="490"/>
    </row>
    <row r="547" spans="1:9">
      <c r="C547" s="487"/>
      <c r="D547" s="446"/>
      <c r="E547" s="446"/>
      <c r="F547" s="446"/>
      <c r="I547" s="490"/>
    </row>
    <row r="548" spans="1:9" ht="13.7" customHeight="1">
      <c r="A548" s="484"/>
      <c r="B548" s="485" t="s">
        <v>2731</v>
      </c>
      <c r="C548" s="487"/>
      <c r="D548" s="1300" t="s">
        <v>884</v>
      </c>
      <c r="E548" s="1300"/>
      <c r="F548" s="1300"/>
      <c r="I548" s="490"/>
    </row>
    <row r="549" spans="1:9" ht="13.7" customHeight="1">
      <c r="A549" s="487"/>
      <c r="B549" s="487"/>
      <c r="C549" s="487"/>
      <c r="D549" s="446"/>
      <c r="I549" s="490"/>
    </row>
    <row r="550" spans="1:9" ht="14.25">
      <c r="A550" s="484"/>
      <c r="B550" s="485" t="s">
        <v>2731</v>
      </c>
      <c r="C550" s="487"/>
      <c r="D550" s="1302" t="s">
        <v>1081</v>
      </c>
      <c r="E550" s="1302"/>
      <c r="F550" s="1302"/>
      <c r="I550" s="490"/>
    </row>
    <row r="551" spans="1:9">
      <c r="A551" s="487"/>
      <c r="B551" s="487"/>
      <c r="C551" s="487"/>
      <c r="D551" s="1302"/>
      <c r="E551" s="1302"/>
      <c r="F551" s="1302"/>
      <c r="I551" s="490"/>
    </row>
    <row r="552" spans="1:9">
      <c r="A552" s="487"/>
      <c r="B552" s="487"/>
      <c r="C552" s="487"/>
      <c r="D552" s="446"/>
      <c r="E552" s="446"/>
      <c r="F552" s="446"/>
      <c r="I552" s="490"/>
    </row>
    <row r="553" spans="1:9" ht="14.25">
      <c r="A553" s="484"/>
      <c r="B553" s="485" t="s">
        <v>2731</v>
      </c>
      <c r="C553" s="487"/>
      <c r="D553" s="1302" t="s">
        <v>1082</v>
      </c>
      <c r="E553" s="1302"/>
      <c r="F553" s="1302"/>
      <c r="I553" s="490"/>
    </row>
    <row r="554" spans="1:9">
      <c r="A554" s="487"/>
      <c r="B554" s="487"/>
      <c r="C554" s="487"/>
      <c r="D554" s="1302"/>
      <c r="E554" s="1302"/>
      <c r="F554" s="1302"/>
      <c r="I554" s="490"/>
    </row>
    <row r="555" spans="1:9">
      <c r="A555" s="487"/>
      <c r="B555" s="487"/>
      <c r="C555" s="487"/>
      <c r="D555" s="446"/>
      <c r="E555" s="446"/>
      <c r="F555" s="446"/>
      <c r="I555" s="490"/>
    </row>
    <row r="556" spans="1:9" ht="14.25">
      <c r="A556" s="484"/>
      <c r="B556" s="485" t="s">
        <v>2731</v>
      </c>
      <c r="C556" s="487"/>
      <c r="D556" s="1302" t="s">
        <v>1083</v>
      </c>
      <c r="E556" s="1302"/>
      <c r="F556" s="1302"/>
      <c r="I556" s="490"/>
    </row>
    <row r="557" spans="1:9">
      <c r="A557" s="487"/>
      <c r="B557" s="487"/>
      <c r="C557" s="487"/>
      <c r="D557" s="1302"/>
      <c r="E557" s="1302"/>
      <c r="F557" s="1302"/>
      <c r="I557" s="490"/>
    </row>
    <row r="558" spans="1:9">
      <c r="A558" s="487"/>
      <c r="B558" s="487"/>
      <c r="C558" s="487"/>
      <c r="D558" s="446"/>
      <c r="E558" s="446"/>
      <c r="F558" s="446"/>
      <c r="I558" s="490"/>
    </row>
    <row r="559" spans="1:9" ht="14.25">
      <c r="A559" s="484"/>
      <c r="B559" s="485" t="s">
        <v>2731</v>
      </c>
      <c r="C559" s="487"/>
      <c r="D559" s="1302" t="s">
        <v>1084</v>
      </c>
      <c r="E559" s="1302"/>
      <c r="F559" s="1302"/>
      <c r="I559" s="490"/>
    </row>
    <row r="560" spans="1:9">
      <c r="A560" s="487"/>
      <c r="B560" s="487"/>
      <c r="C560" s="487"/>
      <c r="D560" s="1302"/>
      <c r="E560" s="1302"/>
      <c r="F560" s="1302"/>
      <c r="I560" s="490"/>
    </row>
    <row r="561" spans="1:9">
      <c r="A561" s="487"/>
      <c r="B561" s="487"/>
      <c r="C561" s="487"/>
      <c r="D561" s="1302"/>
      <c r="E561" s="1302"/>
      <c r="F561" s="1302"/>
      <c r="I561" s="490"/>
    </row>
    <row r="562" spans="1:9">
      <c r="A562" s="487"/>
      <c r="B562" s="487"/>
      <c r="C562" s="487"/>
      <c r="D562" s="446"/>
      <c r="E562" s="446"/>
      <c r="F562" s="446"/>
      <c r="I562" s="490"/>
    </row>
    <row r="563" spans="1:9" ht="14.25">
      <c r="A563" s="484"/>
      <c r="B563" s="485" t="s">
        <v>2732</v>
      </c>
      <c r="C563" s="487"/>
      <c r="D563" s="1302" t="s">
        <v>2246</v>
      </c>
      <c r="E563" s="1302"/>
      <c r="F563" s="1302"/>
      <c r="I563" s="490"/>
    </row>
    <row r="564" spans="1:9">
      <c r="A564" s="487"/>
      <c r="B564" s="487"/>
      <c r="C564" s="487"/>
      <c r="D564" s="1302"/>
      <c r="E564" s="1302"/>
      <c r="F564" s="1302"/>
      <c r="I564" s="490"/>
    </row>
    <row r="565" spans="1:9">
      <c r="A565" s="487"/>
      <c r="B565" s="487"/>
      <c r="C565" s="487"/>
      <c r="D565" s="446"/>
      <c r="E565" s="446"/>
      <c r="F565" s="446"/>
      <c r="I565" s="490"/>
    </row>
    <row r="566" spans="1:9" ht="14.25">
      <c r="A566" s="484"/>
      <c r="B566" s="485" t="s">
        <v>2731</v>
      </c>
      <c r="C566" s="487"/>
      <c r="D566" s="1302" t="s">
        <v>1085</v>
      </c>
      <c r="E566" s="1302"/>
      <c r="F566" s="1302"/>
      <c r="I566" s="490"/>
    </row>
    <row r="567" spans="1:9">
      <c r="A567" s="487"/>
      <c r="B567" s="487"/>
      <c r="C567" s="487"/>
      <c r="D567" s="1302"/>
      <c r="E567" s="1302"/>
      <c r="F567" s="1302"/>
      <c r="I567" s="490"/>
    </row>
    <row r="568" spans="1:9">
      <c r="A568" s="487"/>
      <c r="B568" s="487"/>
      <c r="C568" s="487"/>
      <c r="D568" s="446"/>
      <c r="E568" s="446"/>
      <c r="F568" s="446"/>
      <c r="I568" s="490"/>
    </row>
    <row r="569" spans="1:9" ht="14.25">
      <c r="A569" s="484"/>
      <c r="B569" s="485" t="s">
        <v>2731</v>
      </c>
      <c r="C569" s="487"/>
      <c r="D569" s="1300" t="s">
        <v>1086</v>
      </c>
      <c r="E569" s="1300"/>
      <c r="F569" s="1300"/>
      <c r="I569" s="490"/>
    </row>
    <row r="570" spans="1:9">
      <c r="A570" s="490"/>
      <c r="B570" s="490"/>
      <c r="C570" s="487"/>
      <c r="D570" s="1300" t="s">
        <v>1906</v>
      </c>
      <c r="E570" s="1300"/>
      <c r="F570" s="1300"/>
      <c r="I570" s="490"/>
    </row>
    <row r="571" spans="1:9">
      <c r="A571" s="490"/>
      <c r="B571" s="490"/>
      <c r="C571" s="487"/>
      <c r="E571" s="96" t="s">
        <v>1905</v>
      </c>
      <c r="F571" s="404"/>
      <c r="I571" s="490"/>
    </row>
    <row r="572" spans="1:9" ht="14.25">
      <c r="A572" s="484"/>
      <c r="B572" s="484"/>
      <c r="C572" s="487"/>
      <c r="E572" s="446"/>
      <c r="F572" s="446"/>
      <c r="I572" s="490"/>
    </row>
    <row r="573" spans="1:9" ht="14.25">
      <c r="A573" s="484"/>
      <c r="B573" s="485" t="s">
        <v>2731</v>
      </c>
      <c r="C573" s="487"/>
      <c r="D573" s="1300" t="s">
        <v>1087</v>
      </c>
      <c r="E573" s="1300"/>
      <c r="F573" s="1300"/>
      <c r="I573" s="490"/>
    </row>
    <row r="574" spans="1:9">
      <c r="C574" s="487"/>
      <c r="D574" s="1302" t="s">
        <v>1088</v>
      </c>
      <c r="E574" s="1302"/>
      <c r="F574" s="1302"/>
      <c r="I574" s="490"/>
    </row>
    <row r="575" spans="1:9">
      <c r="A575" s="487"/>
      <c r="B575" s="487"/>
      <c r="C575" s="487"/>
      <c r="D575" s="1302"/>
      <c r="E575" s="1302"/>
      <c r="F575" s="1302"/>
      <c r="I575" s="490"/>
    </row>
    <row r="576" spans="1:9">
      <c r="A576" s="487"/>
      <c r="B576" s="487"/>
      <c r="C576" s="487"/>
      <c r="D576" s="1302"/>
      <c r="E576" s="1302"/>
      <c r="F576" s="1302"/>
      <c r="I576" s="490"/>
    </row>
    <row r="577" spans="1:9">
      <c r="A577" s="487"/>
      <c r="B577" s="487"/>
      <c r="C577" s="487"/>
      <c r="D577" s="446"/>
      <c r="E577" s="446"/>
      <c r="F577" s="446"/>
      <c r="I577" s="490"/>
    </row>
    <row r="578" spans="1:9" ht="14.25">
      <c r="A578" s="484"/>
      <c r="B578" s="485" t="s">
        <v>2731</v>
      </c>
      <c r="C578" s="487"/>
      <c r="D578" s="1302" t="s">
        <v>2062</v>
      </c>
      <c r="E578" s="1302"/>
      <c r="F578" s="1302"/>
      <c r="I578" s="490"/>
    </row>
    <row r="579" spans="1:9" ht="14.25">
      <c r="A579" s="484"/>
      <c r="B579" s="484"/>
      <c r="C579" s="487"/>
      <c r="D579" s="1302"/>
      <c r="E579" s="1302"/>
      <c r="F579" s="1302"/>
      <c r="I579" s="490"/>
    </row>
    <row r="580" spans="1:9" ht="14.25">
      <c r="A580" s="484"/>
      <c r="B580" s="484"/>
      <c r="C580" s="487"/>
      <c r="D580" s="1302"/>
      <c r="E580" s="1302"/>
      <c r="F580" s="1302"/>
      <c r="I580" s="490"/>
    </row>
    <row r="581" spans="1:9" ht="14.25">
      <c r="A581" s="484"/>
      <c r="B581" s="484"/>
      <c r="C581" s="487"/>
      <c r="D581" s="1302"/>
      <c r="E581" s="1302"/>
      <c r="F581" s="1302"/>
      <c r="I581" s="490"/>
    </row>
    <row r="582" spans="1:9" ht="14.25">
      <c r="A582" s="484"/>
      <c r="B582" s="484"/>
      <c r="C582" s="487"/>
      <c r="D582" s="446"/>
      <c r="E582" s="446"/>
      <c r="F582" s="446"/>
      <c r="I582" s="490"/>
    </row>
    <row r="583" spans="1:9">
      <c r="A583" s="1309" t="s">
        <v>1053</v>
      </c>
      <c r="B583" s="1309"/>
      <c r="C583" s="1309"/>
      <c r="D583" s="1309"/>
      <c r="E583" s="1309"/>
      <c r="F583" s="1309"/>
      <c r="G583" s="1309"/>
      <c r="H583" s="1028"/>
      <c r="I583" s="1153"/>
    </row>
    <row r="584" spans="1:9">
      <c r="A584" s="487"/>
      <c r="B584" s="487"/>
      <c r="C584" s="487"/>
      <c r="E584" s="446"/>
      <c r="F584" s="446"/>
      <c r="I584" s="490"/>
    </row>
    <row r="585" spans="1:9" ht="12.75" customHeight="1">
      <c r="C585" s="482"/>
      <c r="D585" s="1318" t="s">
        <v>209</v>
      </c>
      <c r="E585" s="1318"/>
      <c r="F585" s="1318"/>
      <c r="I585" s="490"/>
    </row>
    <row r="586" spans="1:9">
      <c r="A586" s="483"/>
      <c r="B586" s="483"/>
      <c r="C586" s="483"/>
      <c r="D586" s="1314" t="s">
        <v>1066</v>
      </c>
      <c r="E586" s="1314"/>
      <c r="F586" s="1314"/>
      <c r="I586" s="490"/>
    </row>
    <row r="587" spans="1:9">
      <c r="A587" s="402"/>
      <c r="B587" s="402"/>
      <c r="C587" s="483"/>
      <c r="D587" s="499"/>
      <c r="I587" s="490"/>
    </row>
    <row r="588" spans="1:9">
      <c r="A588" s="483"/>
      <c r="B588" s="485" t="s">
        <v>2731</v>
      </c>
      <c r="D588" s="1314" t="s">
        <v>888</v>
      </c>
      <c r="E588" s="1314"/>
      <c r="F588" s="1314"/>
      <c r="I588" s="490"/>
    </row>
    <row r="589" spans="1:9">
      <c r="A589" s="490"/>
      <c r="B589" s="490"/>
      <c r="D589" s="476"/>
      <c r="I589" s="490"/>
    </row>
    <row r="590" spans="1:9">
      <c r="A590" s="490"/>
      <c r="B590" s="485" t="s">
        <v>2731</v>
      </c>
      <c r="D590" s="1314" t="s">
        <v>2063</v>
      </c>
      <c r="E590" s="1314"/>
      <c r="F590" s="1314"/>
      <c r="I590" s="490"/>
    </row>
    <row r="591" spans="1:9">
      <c r="A591" s="490"/>
      <c r="B591" s="490"/>
      <c r="D591" s="1314"/>
      <c r="E591" s="1314"/>
      <c r="F591" s="1314"/>
      <c r="I591" s="490"/>
    </row>
    <row r="592" spans="1:9">
      <c r="A592" s="490"/>
      <c r="B592" s="490"/>
      <c r="D592" s="1314"/>
      <c r="E592" s="1314"/>
      <c r="F592" s="1314"/>
      <c r="I592" s="490"/>
    </row>
    <row r="593" spans="1:9">
      <c r="A593" s="490"/>
      <c r="B593" s="490"/>
      <c r="D593" s="1314"/>
      <c r="E593" s="1314"/>
      <c r="F593" s="1314"/>
      <c r="I593" s="490"/>
    </row>
    <row r="594" spans="1:9">
      <c r="A594" s="490"/>
      <c r="B594" s="485" t="s">
        <v>2732</v>
      </c>
      <c r="D594" s="1314" t="s">
        <v>1067</v>
      </c>
      <c r="E594" s="1314"/>
      <c r="F594" s="1314"/>
      <c r="I594" s="490"/>
    </row>
    <row r="595" spans="1:9">
      <c r="A595" s="490"/>
      <c r="B595" s="490"/>
      <c r="D595" s="1314"/>
      <c r="E595" s="1314"/>
      <c r="F595" s="1314"/>
      <c r="I595" s="490"/>
    </row>
    <row r="596" spans="1:9">
      <c r="A596" s="490"/>
      <c r="B596" s="490"/>
      <c r="D596" s="1314"/>
      <c r="E596" s="1314"/>
      <c r="F596" s="1314"/>
      <c r="I596" s="490"/>
    </row>
    <row r="597" spans="1:9">
      <c r="A597" s="490"/>
      <c r="B597" s="490"/>
      <c r="D597" s="1314"/>
      <c r="E597" s="1314"/>
      <c r="F597" s="1314"/>
      <c r="I597" s="490"/>
    </row>
    <row r="598" spans="1:9">
      <c r="A598" s="490"/>
      <c r="B598" s="490"/>
      <c r="D598" s="440"/>
      <c r="E598" s="440"/>
      <c r="F598" s="440"/>
      <c r="I598" s="490"/>
    </row>
    <row r="599" spans="1:9">
      <c r="A599" s="490"/>
      <c r="B599" s="485" t="s">
        <v>2731</v>
      </c>
      <c r="D599" s="1314" t="s">
        <v>2064</v>
      </c>
      <c r="E599" s="1314"/>
      <c r="F599" s="1314"/>
      <c r="I599" s="490"/>
    </row>
    <row r="600" spans="1:9">
      <c r="A600" s="490"/>
      <c r="B600" s="490"/>
      <c r="D600" s="1314"/>
      <c r="E600" s="1314"/>
      <c r="F600" s="1314"/>
      <c r="I600" s="490"/>
    </row>
    <row r="601" spans="1:9">
      <c r="A601" s="490"/>
      <c r="B601" s="490"/>
      <c r="D601" s="499"/>
      <c r="I601" s="490"/>
    </row>
    <row r="602" spans="1:9">
      <c r="A602" s="490"/>
      <c r="B602" s="485" t="s">
        <v>2732</v>
      </c>
      <c r="D602" s="1314" t="s">
        <v>1068</v>
      </c>
      <c r="E602" s="1314"/>
      <c r="F602" s="1314"/>
      <c r="I602" s="490"/>
    </row>
    <row r="603" spans="1:9">
      <c r="A603" s="490"/>
      <c r="B603" s="490"/>
      <c r="D603" s="1314"/>
      <c r="E603" s="1314"/>
      <c r="F603" s="1314"/>
      <c r="I603" s="490"/>
    </row>
    <row r="604" spans="1:9" ht="14.25">
      <c r="A604" s="484"/>
      <c r="B604" s="484"/>
      <c r="D604" s="499"/>
      <c r="I604" s="490"/>
    </row>
    <row r="605" spans="1:9">
      <c r="A605" s="1309" t="s">
        <v>1054</v>
      </c>
      <c r="B605" s="1309"/>
      <c r="C605" s="1309"/>
      <c r="D605" s="1309"/>
      <c r="E605" s="1309"/>
      <c r="F605" s="1309"/>
      <c r="G605" s="1309"/>
      <c r="H605" s="1028"/>
      <c r="I605" s="1153"/>
    </row>
    <row r="606" spans="1:9">
      <c r="I606" s="490"/>
    </row>
    <row r="607" spans="1:9">
      <c r="D607" s="1310" t="s">
        <v>1106</v>
      </c>
      <c r="E607" s="1310"/>
      <c r="F607" s="1310"/>
      <c r="I607" s="490"/>
    </row>
    <row r="608" spans="1:9">
      <c r="D608" s="1282" t="s">
        <v>1107</v>
      </c>
      <c r="E608" s="1282"/>
      <c r="F608" s="1282"/>
      <c r="I608" s="490"/>
    </row>
    <row r="609" spans="1:9">
      <c r="D609" s="444"/>
      <c r="I609" s="490"/>
    </row>
    <row r="610" spans="1:9" ht="14.25" customHeight="1">
      <c r="A610" s="484"/>
      <c r="B610" s="485" t="s">
        <v>2731</v>
      </c>
      <c r="D610" s="1315" t="s">
        <v>1907</v>
      </c>
      <c r="E610" s="1315"/>
      <c r="F610" s="1315"/>
      <c r="I610" s="490"/>
    </row>
    <row r="611" spans="1:9">
      <c r="D611" s="1315"/>
      <c r="E611" s="1315"/>
      <c r="F611" s="1315"/>
      <c r="I611" s="490"/>
    </row>
    <row r="612" spans="1:9">
      <c r="D612" s="385"/>
      <c r="E612" s="1036" t="s">
        <v>1908</v>
      </c>
      <c r="F612" s="385"/>
      <c r="I612" s="490"/>
    </row>
    <row r="613" spans="1:9">
      <c r="I613" s="490"/>
    </row>
    <row r="614" spans="1:9">
      <c r="A614" s="1309" t="s">
        <v>1055</v>
      </c>
      <c r="B614" s="1309"/>
      <c r="C614" s="1309"/>
      <c r="D614" s="1309"/>
      <c r="E614" s="1309"/>
      <c r="F614" s="1309"/>
      <c r="G614" s="1309"/>
      <c r="H614" s="1028"/>
      <c r="I614" s="1153"/>
    </row>
    <row r="615" spans="1:9">
      <c r="A615" s="446"/>
      <c r="B615" s="446"/>
      <c r="I615" s="490"/>
    </row>
    <row r="616" spans="1:9">
      <c r="A616" s="482"/>
      <c r="B616" s="482"/>
      <c r="C616" s="482"/>
      <c r="D616" s="1299" t="s">
        <v>1108</v>
      </c>
      <c r="E616" s="1299"/>
      <c r="F616" s="1299"/>
      <c r="I616" s="490"/>
    </row>
    <row r="617" spans="1:9">
      <c r="A617" s="482"/>
      <c r="B617" s="482"/>
      <c r="C617" s="482"/>
      <c r="D617" s="1299"/>
      <c r="E617" s="1299"/>
      <c r="F617" s="1299"/>
      <c r="I617" s="490"/>
    </row>
    <row r="618" spans="1:9">
      <c r="C618" s="483"/>
      <c r="D618" s="1282" t="s">
        <v>1109</v>
      </c>
      <c r="E618" s="1282"/>
      <c r="F618" s="1282"/>
      <c r="I618" s="490"/>
    </row>
    <row r="619" spans="1:9">
      <c r="C619" s="483"/>
      <c r="D619" s="444"/>
      <c r="E619" s="444"/>
      <c r="F619" s="444"/>
      <c r="I619" s="490"/>
    </row>
    <row r="620" spans="1:9" ht="12.75" customHeight="1">
      <c r="A620" s="490"/>
      <c r="B620" s="485" t="s">
        <v>2731</v>
      </c>
      <c r="D620" s="1308" t="s">
        <v>1110</v>
      </c>
      <c r="E620" s="1308"/>
      <c r="F620" s="1308"/>
      <c r="I620" s="490"/>
    </row>
    <row r="621" spans="1:9">
      <c r="D621" s="1308"/>
      <c r="E621" s="1308"/>
      <c r="F621" s="1308"/>
      <c r="I621" s="490"/>
    </row>
    <row r="622" spans="1:9">
      <c r="I622" s="490"/>
    </row>
    <row r="623" spans="1:9">
      <c r="B623" s="485" t="s">
        <v>2731</v>
      </c>
      <c r="D623" s="1308" t="s">
        <v>1111</v>
      </c>
      <c r="E623" s="1308"/>
      <c r="F623" s="1308"/>
      <c r="I623" s="490"/>
    </row>
    <row r="624" spans="1:9">
      <c r="C624" s="500"/>
      <c r="D624" s="1308"/>
      <c r="E624" s="1308"/>
      <c r="F624" s="1308"/>
      <c r="I624" s="490"/>
    </row>
    <row r="625" spans="1:9">
      <c r="C625" s="500"/>
      <c r="I625" s="490"/>
    </row>
    <row r="626" spans="1:9">
      <c r="B626" s="485" t="s">
        <v>2732</v>
      </c>
      <c r="C626" s="500"/>
      <c r="D626" s="1308" t="s">
        <v>1112</v>
      </c>
      <c r="E626" s="1308"/>
      <c r="F626" s="1308"/>
      <c r="I626" s="490"/>
    </row>
    <row r="627" spans="1:9">
      <c r="C627" s="500"/>
      <c r="D627" s="1308"/>
      <c r="E627" s="1308"/>
      <c r="F627" s="1308"/>
      <c r="I627" s="500"/>
    </row>
    <row r="628" spans="1:9">
      <c r="C628" s="500"/>
      <c r="I628" s="490"/>
    </row>
    <row r="629" spans="1:9">
      <c r="A629" s="1309" t="s">
        <v>1056</v>
      </c>
      <c r="B629" s="1309"/>
      <c r="C629" s="1309"/>
      <c r="D629" s="1309"/>
      <c r="E629" s="1309"/>
      <c r="F629" s="1309"/>
      <c r="G629" s="1309"/>
      <c r="H629" s="1028"/>
      <c r="I629" s="1153"/>
    </row>
    <row r="630" spans="1:9">
      <c r="A630" s="482"/>
      <c r="B630" s="482"/>
      <c r="C630" s="482"/>
      <c r="I630" s="490"/>
    </row>
    <row r="631" spans="1:9">
      <c r="C631" s="490"/>
      <c r="D631" s="1310" t="s">
        <v>1113</v>
      </c>
      <c r="E631" s="1310"/>
      <c r="F631" s="1310"/>
      <c r="I631" s="490"/>
    </row>
    <row r="632" spans="1:9">
      <c r="A632" s="490"/>
      <c r="B632" s="490"/>
      <c r="D632" s="404"/>
      <c r="I632" s="490"/>
    </row>
    <row r="633" spans="1:9" ht="14.25" customHeight="1">
      <c r="A633" s="484"/>
      <c r="B633" s="485" t="s">
        <v>2731</v>
      </c>
      <c r="D633" s="1315" t="s">
        <v>2065</v>
      </c>
      <c r="E633" s="1315"/>
      <c r="F633" s="1315"/>
      <c r="I633" s="490"/>
    </row>
    <row r="634" spans="1:9">
      <c r="D634" s="1315"/>
      <c r="E634" s="1315"/>
      <c r="F634" s="1315"/>
      <c r="I634" s="490"/>
    </row>
    <row r="635" spans="1:9">
      <c r="D635" s="385"/>
      <c r="E635" s="1036" t="s">
        <v>1910</v>
      </c>
      <c r="F635" s="385"/>
      <c r="I635" s="490"/>
    </row>
    <row r="636" spans="1:9">
      <c r="D636" s="1302" t="s">
        <v>1909</v>
      </c>
      <c r="E636" s="1302"/>
      <c r="F636" s="1302"/>
      <c r="I636" s="490"/>
    </row>
    <row r="637" spans="1:9">
      <c r="D637" s="1302"/>
      <c r="E637" s="1302"/>
      <c r="F637" s="1302"/>
      <c r="I637" s="490"/>
    </row>
    <row r="638" spans="1:9">
      <c r="D638" s="1302"/>
      <c r="E638" s="1302"/>
      <c r="F638" s="1302"/>
      <c r="I638" s="490"/>
    </row>
    <row r="639" spans="1:9">
      <c r="D639" s="445"/>
      <c r="E639" s="445"/>
      <c r="F639" s="445"/>
      <c r="I639" s="490"/>
    </row>
    <row r="640" spans="1:9" ht="14.25">
      <c r="A640" s="484"/>
      <c r="B640" s="485" t="s">
        <v>2732</v>
      </c>
      <c r="D640" s="1302" t="s">
        <v>1114</v>
      </c>
      <c r="E640" s="1302"/>
      <c r="F640" s="1302"/>
      <c r="I640" s="490"/>
    </row>
    <row r="641" spans="1:9">
      <c r="A641" s="487"/>
      <c r="B641" s="487"/>
      <c r="C641" s="487"/>
      <c r="D641" s="1302"/>
      <c r="E641" s="1302"/>
      <c r="F641" s="1302"/>
      <c r="I641" s="490"/>
    </row>
    <row r="642" spans="1:9">
      <c r="A642" s="487"/>
      <c r="B642" s="487"/>
      <c r="C642" s="487"/>
      <c r="D642" s="446"/>
      <c r="E642" s="446"/>
      <c r="F642" s="446"/>
      <c r="I642" s="490"/>
    </row>
    <row r="643" spans="1:9" ht="14.25">
      <c r="A643" s="484"/>
      <c r="B643" s="485" t="s">
        <v>2732</v>
      </c>
      <c r="C643" s="487"/>
      <c r="D643" s="1302" t="s">
        <v>1224</v>
      </c>
      <c r="E643" s="1302"/>
      <c r="F643" s="1302"/>
      <c r="I643" s="490"/>
    </row>
    <row r="644" spans="1:9" ht="14.25">
      <c r="A644" s="484"/>
      <c r="B644" s="484"/>
      <c r="C644" s="487"/>
      <c r="D644" s="1302"/>
      <c r="E644" s="1302"/>
      <c r="F644" s="1302"/>
      <c r="I644" s="490"/>
    </row>
    <row r="645" spans="1:9" ht="14.25">
      <c r="A645" s="484"/>
      <c r="B645" s="484"/>
      <c r="C645" s="487"/>
      <c r="D645" s="1302"/>
      <c r="E645" s="1302"/>
      <c r="F645" s="1302"/>
      <c r="I645" s="490"/>
    </row>
    <row r="646" spans="1:9">
      <c r="A646" s="487"/>
      <c r="B646" s="485" t="s">
        <v>2732</v>
      </c>
      <c r="C646" s="487"/>
      <c r="D646" s="1300" t="s">
        <v>1115</v>
      </c>
      <c r="E646" s="1300"/>
      <c r="F646" s="1300"/>
      <c r="I646" s="490"/>
    </row>
    <row r="647" spans="1:9">
      <c r="A647" s="487"/>
      <c r="B647" s="487"/>
      <c r="C647" s="487"/>
      <c r="D647" s="446"/>
      <c r="E647" s="446"/>
      <c r="F647" s="446"/>
      <c r="I647" s="490"/>
    </row>
    <row r="648" spans="1:9">
      <c r="A648" s="1309" t="s">
        <v>1057</v>
      </c>
      <c r="B648" s="1309"/>
      <c r="C648" s="1309"/>
      <c r="D648" s="1309"/>
      <c r="E648" s="1309"/>
      <c r="F648" s="1309"/>
      <c r="G648" s="1309"/>
      <c r="H648" s="1028"/>
      <c r="I648" s="1153"/>
    </row>
    <row r="649" spans="1:9">
      <c r="A649" s="446"/>
      <c r="B649" s="446"/>
      <c r="C649" s="487"/>
      <c r="D649" s="446"/>
      <c r="E649" s="446"/>
      <c r="F649" s="446"/>
      <c r="I649" s="490"/>
    </row>
    <row r="650" spans="1:9">
      <c r="C650" s="482"/>
      <c r="D650" s="1310" t="s">
        <v>1145</v>
      </c>
      <c r="E650" s="1310"/>
      <c r="F650" s="1310"/>
      <c r="I650" s="490"/>
    </row>
    <row r="651" spans="1:9">
      <c r="A651" s="483"/>
      <c r="B651" s="483"/>
      <c r="C651" s="483"/>
      <c r="D651" s="1300" t="s">
        <v>1146</v>
      </c>
      <c r="E651" s="1300"/>
      <c r="F651" s="1300"/>
      <c r="I651" s="490"/>
    </row>
    <row r="652" spans="1:9">
      <c r="A652" s="483"/>
      <c r="B652" s="483"/>
      <c r="C652" s="483"/>
      <c r="D652" s="446"/>
      <c r="E652" s="446"/>
      <c r="F652" s="446"/>
      <c r="I652" s="490"/>
    </row>
    <row r="653" spans="1:9" ht="12.75" customHeight="1">
      <c r="B653" s="485" t="s">
        <v>2732</v>
      </c>
      <c r="C653" s="487"/>
      <c r="D653" s="1302" t="s">
        <v>1280</v>
      </c>
      <c r="E653" s="1302"/>
      <c r="F653" s="1302"/>
      <c r="I653" s="490"/>
    </row>
    <row r="654" spans="1:9">
      <c r="D654" s="1302"/>
      <c r="E654" s="1302"/>
      <c r="F654" s="1302"/>
      <c r="I654" s="490"/>
    </row>
    <row r="655" spans="1:9">
      <c r="D655" s="1302"/>
      <c r="E655" s="1302"/>
      <c r="F655" s="1302"/>
      <c r="I655" s="490"/>
    </row>
    <row r="656" spans="1:9">
      <c r="D656" s="1302"/>
      <c r="E656" s="1302"/>
      <c r="F656" s="1302"/>
      <c r="I656" s="490"/>
    </row>
    <row r="657" spans="1:9" ht="14.45" customHeight="1">
      <c r="A657" s="484"/>
      <c r="B657" s="484"/>
      <c r="C657" s="487"/>
      <c r="D657" s="385"/>
      <c r="E657" s="385"/>
      <c r="F657" s="385"/>
      <c r="I657" s="490"/>
    </row>
    <row r="658" spans="1:9" ht="12.75" customHeight="1">
      <c r="A658" s="483"/>
      <c r="B658" s="485" t="s">
        <v>2732</v>
      </c>
      <c r="C658" s="487"/>
      <c r="D658" s="1302" t="s">
        <v>1282</v>
      </c>
      <c r="E658" s="1302"/>
      <c r="F658" s="1302"/>
      <c r="I658" s="490"/>
    </row>
    <row r="659" spans="1:9" ht="14.25">
      <c r="A659" s="483"/>
      <c r="B659" s="484"/>
      <c r="C659" s="487"/>
      <c r="D659" s="1302"/>
      <c r="E659" s="1302"/>
      <c r="F659" s="1302"/>
      <c r="I659" s="490"/>
    </row>
    <row r="660" spans="1:9" ht="14.25">
      <c r="A660" s="483"/>
      <c r="B660" s="484"/>
      <c r="C660" s="487"/>
      <c r="D660" s="1302"/>
      <c r="E660" s="1302"/>
      <c r="F660" s="1302"/>
      <c r="I660" s="490"/>
    </row>
    <row r="661" spans="1:9" ht="14.25">
      <c r="A661" s="483"/>
      <c r="B661" s="484"/>
      <c r="C661" s="487"/>
      <c r="D661" s="1302"/>
      <c r="E661" s="1302"/>
      <c r="F661" s="1302"/>
      <c r="I661" s="490"/>
    </row>
    <row r="662" spans="1:9" ht="14.25">
      <c r="A662" s="483"/>
      <c r="B662" s="484"/>
      <c r="C662" s="487"/>
      <c r="D662" s="1302"/>
      <c r="E662" s="1302"/>
      <c r="F662" s="1302"/>
      <c r="I662" s="490"/>
    </row>
    <row r="663" spans="1:9" ht="14.25" customHeight="1">
      <c r="A663" s="483"/>
      <c r="B663" s="484"/>
      <c r="C663" s="487"/>
      <c r="F663" s="386"/>
      <c r="I663" s="490"/>
    </row>
    <row r="664" spans="1:9" ht="12.75" customHeight="1">
      <c r="A664" s="483"/>
      <c r="B664" s="485" t="s">
        <v>2732</v>
      </c>
      <c r="C664" s="487"/>
      <c r="D664" s="1302" t="s">
        <v>1281</v>
      </c>
      <c r="E664" s="1302"/>
      <c r="F664" s="1302"/>
      <c r="I664" s="490"/>
    </row>
    <row r="665" spans="1:9" ht="14.25">
      <c r="A665" s="483"/>
      <c r="B665" s="484"/>
      <c r="C665" s="487"/>
      <c r="D665" s="1302"/>
      <c r="E665" s="1302"/>
      <c r="F665" s="1302"/>
      <c r="I665" s="490"/>
    </row>
    <row r="666" spans="1:9" ht="14.25">
      <c r="A666" s="484"/>
      <c r="B666" s="484"/>
      <c r="C666" s="487"/>
      <c r="D666" s="1302"/>
      <c r="E666" s="1302"/>
      <c r="F666" s="1302"/>
      <c r="I666" s="490"/>
    </row>
    <row r="667" spans="1:9" ht="14.25">
      <c r="A667" s="484"/>
      <c r="B667" s="484"/>
      <c r="C667" s="487"/>
      <c r="D667" s="1302"/>
      <c r="E667" s="1302"/>
      <c r="F667" s="1302"/>
      <c r="I667" s="490"/>
    </row>
    <row r="668" spans="1:9" ht="14.25">
      <c r="A668" s="484"/>
      <c r="B668" s="484"/>
      <c r="C668" s="487"/>
      <c r="D668" s="445"/>
      <c r="E668" s="445"/>
      <c r="F668" s="445"/>
      <c r="I668" s="490"/>
    </row>
    <row r="669" spans="1:9" ht="12.75" customHeight="1">
      <c r="A669" s="483"/>
      <c r="B669" s="485" t="s">
        <v>2732</v>
      </c>
      <c r="C669" s="487"/>
      <c r="D669" s="1302" t="s">
        <v>2066</v>
      </c>
      <c r="E669" s="1302"/>
      <c r="F669" s="1302"/>
      <c r="I669" s="490"/>
    </row>
    <row r="670" spans="1:9" ht="12.75" customHeight="1">
      <c r="A670" s="483"/>
      <c r="B670" s="484"/>
      <c r="C670" s="487"/>
      <c r="D670" s="1302"/>
      <c r="E670" s="1302"/>
      <c r="F670" s="1302"/>
      <c r="I670" s="490"/>
    </row>
    <row r="671" spans="1:9" ht="12.75" customHeight="1">
      <c r="A671" s="483"/>
      <c r="B671" s="484"/>
      <c r="C671" s="487"/>
      <c r="D671" s="1302"/>
      <c r="E671" s="1302"/>
      <c r="F671" s="1302"/>
      <c r="I671" s="490"/>
    </row>
    <row r="672" spans="1:9" ht="12.75" customHeight="1">
      <c r="A672" s="483"/>
      <c r="B672" s="484"/>
      <c r="C672" s="487"/>
      <c r="D672" s="1302"/>
      <c r="E672" s="1302"/>
      <c r="F672" s="1302"/>
      <c r="I672" s="490"/>
    </row>
    <row r="673" spans="1:11" ht="12.75" customHeight="1">
      <c r="A673" s="483"/>
      <c r="B673" s="484"/>
      <c r="C673" s="487"/>
      <c r="D673" s="1302"/>
      <c r="E673" s="1302"/>
      <c r="F673" s="1302"/>
      <c r="I673" s="490"/>
    </row>
    <row r="674" spans="1:11" ht="12.75" customHeight="1">
      <c r="A674" s="483"/>
      <c r="B674" s="484"/>
      <c r="C674" s="487"/>
      <c r="D674" s="1302"/>
      <c r="E674" s="1302"/>
      <c r="F674" s="1302"/>
      <c r="I674" s="490"/>
    </row>
    <row r="675" spans="1:11" ht="12.75" customHeight="1">
      <c r="A675" s="483"/>
      <c r="B675" s="484"/>
      <c r="C675" s="487"/>
      <c r="D675" s="1302"/>
      <c r="E675" s="1302"/>
      <c r="F675" s="1302"/>
      <c r="I675" s="490"/>
    </row>
    <row r="676" spans="1:11" ht="12.75" customHeight="1">
      <c r="A676" s="483"/>
      <c r="B676" s="484"/>
      <c r="C676" s="487"/>
      <c r="D676" s="1302"/>
      <c r="E676" s="1302"/>
      <c r="F676" s="1302"/>
      <c r="I676" s="490"/>
    </row>
    <row r="677" spans="1:11" ht="12.75" customHeight="1">
      <c r="A677" s="483"/>
      <c r="B677" s="484"/>
      <c r="C677" s="487"/>
      <c r="D677" s="1302"/>
      <c r="E677" s="1302"/>
      <c r="F677" s="1302"/>
      <c r="I677" s="490"/>
    </row>
    <row r="678" spans="1:11">
      <c r="A678" s="487"/>
      <c r="B678" s="487"/>
      <c r="C678" s="487"/>
      <c r="D678" s="446"/>
      <c r="E678" s="446"/>
      <c r="F678" s="446"/>
      <c r="I678" s="490"/>
    </row>
    <row r="679" spans="1:11">
      <c r="A679" s="1309" t="s">
        <v>1058</v>
      </c>
      <c r="B679" s="1309"/>
      <c r="C679" s="1309"/>
      <c r="D679" s="1309"/>
      <c r="E679" s="1309"/>
      <c r="F679" s="1309"/>
      <c r="G679" s="1309"/>
      <c r="H679" s="1030"/>
      <c r="I679" s="1157"/>
      <c r="J679" s="501"/>
      <c r="K679" s="501"/>
    </row>
    <row r="680" spans="1:11">
      <c r="A680" s="448"/>
      <c r="B680" s="448"/>
      <c r="C680" s="448"/>
      <c r="D680" s="448"/>
      <c r="E680" s="448"/>
      <c r="F680" s="448"/>
      <c r="G680" s="448"/>
      <c r="H680" s="501"/>
      <c r="I680" s="483"/>
      <c r="J680" s="501"/>
      <c r="K680" s="501"/>
    </row>
    <row r="681" spans="1:11">
      <c r="C681" s="482"/>
      <c r="D681" s="1310" t="s">
        <v>99</v>
      </c>
      <c r="E681" s="1310"/>
      <c r="F681" s="1310"/>
      <c r="H681" s="501"/>
      <c r="I681" s="483"/>
      <c r="J681" s="501"/>
      <c r="K681" s="501"/>
    </row>
    <row r="682" spans="1:11">
      <c r="A682" s="482"/>
      <c r="B682" s="482"/>
      <c r="C682" s="482"/>
      <c r="D682" s="1310" t="s">
        <v>123</v>
      </c>
      <c r="E682" s="1310"/>
      <c r="F682" s="1310"/>
      <c r="H682" s="501"/>
      <c r="I682" s="483"/>
      <c r="J682" s="501"/>
      <c r="K682" s="501"/>
    </row>
    <row r="683" spans="1:11">
      <c r="A683" s="483"/>
      <c r="B683" s="483"/>
      <c r="C683" s="483"/>
      <c r="D683" s="1300" t="s">
        <v>1075</v>
      </c>
      <c r="E683" s="1300"/>
      <c r="F683" s="1300"/>
      <c r="H683" s="501"/>
      <c r="I683" s="483"/>
      <c r="J683" s="501"/>
      <c r="K683" s="501"/>
    </row>
    <row r="684" spans="1:11">
      <c r="A684" s="483"/>
      <c r="B684" s="483"/>
      <c r="C684" s="483"/>
      <c r="H684" s="501"/>
      <c r="I684" s="483"/>
      <c r="J684" s="501"/>
      <c r="K684" s="501"/>
    </row>
    <row r="685" spans="1:11" ht="14.25">
      <c r="A685" s="484"/>
      <c r="B685" s="485" t="s">
        <v>2732</v>
      </c>
      <c r="C685" s="483"/>
      <c r="D685" s="1300" t="s">
        <v>885</v>
      </c>
      <c r="E685" s="1300"/>
      <c r="F685" s="1300"/>
      <c r="H685" s="501"/>
      <c r="I685" s="483"/>
      <c r="J685" s="501"/>
      <c r="K685" s="501"/>
    </row>
    <row r="686" spans="1:11">
      <c r="A686" s="483"/>
      <c r="B686" s="483"/>
      <c r="C686" s="483"/>
      <c r="D686" s="1300" t="s">
        <v>894</v>
      </c>
      <c r="E686" s="1300"/>
      <c r="F686" s="1300"/>
      <c r="H686" s="501"/>
      <c r="I686" s="483"/>
      <c r="J686" s="501"/>
      <c r="K686" s="501"/>
    </row>
    <row r="687" spans="1:11" ht="12.75" customHeight="1">
      <c r="A687" s="483"/>
      <c r="B687" s="483"/>
      <c r="C687" s="483"/>
      <c r="E687" s="1036" t="s">
        <v>1912</v>
      </c>
      <c r="F687" s="420"/>
      <c r="H687" s="501"/>
      <c r="I687" s="483"/>
      <c r="J687" s="501"/>
      <c r="K687" s="501"/>
    </row>
    <row r="688" spans="1:11">
      <c r="A688" s="483"/>
      <c r="B688" s="483"/>
      <c r="C688" s="483"/>
      <c r="E688" s="501" t="s">
        <v>1911</v>
      </c>
      <c r="F688" s="420"/>
      <c r="I688" s="483"/>
      <c r="J688" s="501"/>
      <c r="K688" s="501"/>
    </row>
    <row r="689" spans="1:11">
      <c r="A689" s="483"/>
      <c r="B689" s="483"/>
      <c r="C689" s="483"/>
      <c r="D689" s="502"/>
      <c r="E689" s="446"/>
      <c r="H689" s="501"/>
      <c r="I689" s="483"/>
      <c r="J689" s="501"/>
      <c r="K689" s="501"/>
    </row>
    <row r="690" spans="1:11" ht="14.25">
      <c r="A690" s="484"/>
      <c r="B690" s="485" t="s">
        <v>2732</v>
      </c>
      <c r="C690" s="483"/>
      <c r="D690" s="1302" t="s">
        <v>2067</v>
      </c>
      <c r="E690" s="1302"/>
      <c r="F690" s="1302"/>
      <c r="H690" s="501"/>
      <c r="I690" s="483"/>
      <c r="J690" s="501"/>
      <c r="K690" s="501"/>
    </row>
    <row r="691" spans="1:11">
      <c r="A691" s="490"/>
      <c r="B691" s="490"/>
      <c r="C691" s="483"/>
      <c r="D691" s="1302"/>
      <c r="E691" s="1302"/>
      <c r="F691" s="1302"/>
      <c r="H691" s="501"/>
      <c r="I691" s="483"/>
      <c r="J691" s="501"/>
      <c r="K691" s="501"/>
    </row>
    <row r="692" spans="1:11">
      <c r="A692" s="483"/>
      <c r="B692" s="483"/>
      <c r="C692" s="483"/>
      <c r="D692" s="1302"/>
      <c r="E692" s="1302"/>
      <c r="F692" s="1302"/>
      <c r="H692" s="501"/>
      <c r="I692" s="483"/>
      <c r="J692" s="501"/>
      <c r="K692" s="501"/>
    </row>
    <row r="693" spans="1:11">
      <c r="A693" s="483"/>
      <c r="B693" s="483"/>
      <c r="C693" s="483"/>
      <c r="H693" s="501"/>
      <c r="J693" s="501"/>
      <c r="K693" s="501"/>
    </row>
    <row r="694" spans="1:11" ht="14.25">
      <c r="A694" s="484"/>
      <c r="B694" s="485" t="s">
        <v>2731</v>
      </c>
      <c r="C694" s="483"/>
      <c r="D694" s="1300" t="s">
        <v>917</v>
      </c>
      <c r="E694" s="1300"/>
      <c r="F694" s="1300"/>
      <c r="H694" s="501"/>
      <c r="I694" s="483"/>
      <c r="J694" s="501"/>
      <c r="K694" s="501"/>
    </row>
    <row r="695" spans="1:11" ht="14.25">
      <c r="A695" s="484"/>
      <c r="B695" s="484"/>
      <c r="C695" s="483"/>
      <c r="D695" s="1300" t="s">
        <v>894</v>
      </c>
      <c r="E695" s="1300"/>
      <c r="F695" s="1300"/>
      <c r="H695" s="501"/>
      <c r="I695" s="483"/>
      <c r="J695" s="501"/>
      <c r="K695" s="501"/>
    </row>
    <row r="696" spans="1:11">
      <c r="A696" s="483"/>
      <c r="B696" s="483"/>
      <c r="C696" s="483"/>
      <c r="E696" s="1036" t="s">
        <v>1913</v>
      </c>
      <c r="F696" s="404"/>
      <c r="H696" s="501"/>
      <c r="I696" s="483"/>
      <c r="J696" s="501"/>
      <c r="K696" s="501"/>
    </row>
    <row r="697" spans="1:11">
      <c r="A697" s="483"/>
      <c r="B697" s="483"/>
      <c r="C697" s="483"/>
      <c r="D697" s="404"/>
      <c r="H697" s="501"/>
      <c r="I697" s="483"/>
      <c r="J697" s="501"/>
      <c r="K697" s="501"/>
    </row>
    <row r="698" spans="1:11" ht="14.25">
      <c r="A698" s="484"/>
      <c r="B698" s="485" t="s">
        <v>2732</v>
      </c>
      <c r="C698" s="483"/>
      <c r="D698" s="1300" t="s">
        <v>2468</v>
      </c>
      <c r="E698" s="1300"/>
      <c r="F698" s="1300"/>
      <c r="H698" s="501"/>
      <c r="I698" s="483"/>
      <c r="J698" s="501"/>
      <c r="K698" s="501"/>
    </row>
    <row r="699" spans="1:11" ht="14.25">
      <c r="A699" s="484"/>
      <c r="B699" s="484"/>
      <c r="C699" s="483"/>
      <c r="D699" s="1300" t="s">
        <v>894</v>
      </c>
      <c r="E699" s="1300"/>
      <c r="F699" s="1300"/>
      <c r="H699" s="501"/>
      <c r="I699" s="483"/>
      <c r="J699" s="501"/>
      <c r="K699" s="501"/>
    </row>
    <row r="700" spans="1:11">
      <c r="A700" s="483"/>
      <c r="B700" s="483"/>
      <c r="C700" s="483"/>
      <c r="E700" s="1036" t="s">
        <v>2469</v>
      </c>
      <c r="F700" s="404"/>
      <c r="H700" s="501"/>
      <c r="I700" s="483"/>
      <c r="J700" s="501"/>
      <c r="K700" s="501"/>
    </row>
    <row r="701" spans="1:11">
      <c r="A701" s="483"/>
      <c r="B701" s="483"/>
      <c r="C701" s="483"/>
      <c r="D701" s="404"/>
      <c r="H701" s="501"/>
      <c r="I701" s="483"/>
      <c r="J701" s="501"/>
      <c r="K701" s="501"/>
    </row>
    <row r="702" spans="1:11" ht="14.25">
      <c r="A702" s="484"/>
      <c r="B702" s="485" t="s">
        <v>2732</v>
      </c>
      <c r="C702" s="483"/>
      <c r="D702" s="1302" t="s">
        <v>2243</v>
      </c>
      <c r="E702" s="1302"/>
      <c r="F702" s="1302"/>
      <c r="H702" s="501"/>
      <c r="I702" s="483"/>
      <c r="J702" s="501"/>
      <c r="K702" s="501"/>
    </row>
    <row r="703" spans="1:11">
      <c r="A703" s="483"/>
      <c r="B703" s="483"/>
      <c r="C703" s="483"/>
      <c r="D703" s="1302"/>
      <c r="E703" s="1302"/>
      <c r="F703" s="1302"/>
      <c r="H703" s="501"/>
      <c r="I703" s="483"/>
      <c r="J703" s="501"/>
      <c r="K703" s="501"/>
    </row>
    <row r="704" spans="1:11">
      <c r="A704" s="483"/>
      <c r="B704" s="483"/>
      <c r="C704" s="483"/>
      <c r="D704" s="1302"/>
      <c r="E704" s="1302"/>
      <c r="F704" s="1302"/>
      <c r="H704" s="501"/>
      <c r="I704" s="483"/>
      <c r="J704" s="501"/>
      <c r="K704" s="501"/>
    </row>
    <row r="705" spans="1:11">
      <c r="A705" s="483"/>
      <c r="B705" s="483"/>
      <c r="C705" s="483"/>
      <c r="D705" s="1302"/>
      <c r="E705" s="1302"/>
      <c r="F705" s="1302"/>
      <c r="H705" s="501"/>
      <c r="I705" s="483"/>
      <c r="J705" s="501"/>
      <c r="K705" s="501"/>
    </row>
    <row r="706" spans="1:11">
      <c r="A706" s="483"/>
      <c r="B706" s="483"/>
      <c r="C706" s="483"/>
      <c r="D706" s="1302"/>
      <c r="E706" s="1302"/>
      <c r="F706" s="1302"/>
      <c r="H706" s="501"/>
      <c r="I706" s="483"/>
      <c r="J706" s="501"/>
      <c r="K706" s="501"/>
    </row>
    <row r="707" spans="1:11">
      <c r="A707" s="483"/>
      <c r="B707" s="483"/>
      <c r="C707" s="483"/>
      <c r="D707" s="1302"/>
      <c r="E707" s="1302"/>
      <c r="F707" s="1302"/>
      <c r="H707" s="501"/>
      <c r="I707" s="483"/>
      <c r="J707" s="501"/>
      <c r="K707" s="501"/>
    </row>
    <row r="708" spans="1:11">
      <c r="A708" s="483"/>
      <c r="B708" s="483"/>
      <c r="C708" s="483"/>
      <c r="D708" s="445"/>
      <c r="E708" s="445"/>
      <c r="F708" s="445"/>
      <c r="H708" s="501"/>
      <c r="I708" s="483"/>
      <c r="J708" s="501"/>
      <c r="K708" s="501"/>
    </row>
    <row r="709" spans="1:11">
      <c r="A709" s="483"/>
      <c r="B709" s="485" t="s">
        <v>2732</v>
      </c>
      <c r="C709" s="483"/>
      <c r="D709" s="1302" t="s">
        <v>1200</v>
      </c>
      <c r="E709" s="1302"/>
      <c r="F709" s="1302"/>
      <c r="H709" s="501"/>
      <c r="I709" s="483"/>
      <c r="J709" s="501"/>
      <c r="K709" s="501"/>
    </row>
    <row r="710" spans="1:11">
      <c r="A710" s="483"/>
      <c r="B710" s="483"/>
      <c r="C710" s="483"/>
      <c r="D710" s="1302"/>
      <c r="E710" s="1302"/>
      <c r="F710" s="1302"/>
      <c r="H710" s="501"/>
      <c r="I710" s="483"/>
      <c r="J710" s="501"/>
      <c r="K710" s="501"/>
    </row>
    <row r="711" spans="1:11">
      <c r="A711" s="483"/>
      <c r="B711" s="483"/>
      <c r="C711" s="483"/>
      <c r="D711" s="445"/>
      <c r="E711" s="445"/>
      <c r="F711" s="445"/>
      <c r="H711" s="501"/>
      <c r="I711" s="483"/>
      <c r="J711" s="501"/>
      <c r="K711" s="501"/>
    </row>
    <row r="712" spans="1:11" ht="14.25">
      <c r="A712" s="484"/>
      <c r="B712" s="485" t="s">
        <v>2732</v>
      </c>
      <c r="C712" s="483"/>
      <c r="D712" s="1302" t="s">
        <v>1076</v>
      </c>
      <c r="E712" s="1302"/>
      <c r="F712" s="1302"/>
      <c r="H712" s="501"/>
      <c r="I712" s="483"/>
      <c r="J712" s="501"/>
      <c r="K712" s="501"/>
    </row>
    <row r="713" spans="1:11">
      <c r="A713" s="483"/>
      <c r="B713" s="483"/>
      <c r="C713" s="483"/>
      <c r="D713" s="1302"/>
      <c r="E713" s="1302"/>
      <c r="F713" s="1302"/>
      <c r="H713" s="501"/>
      <c r="I713" s="483"/>
      <c r="J713" s="501"/>
      <c r="K713" s="501"/>
    </row>
    <row r="714" spans="1:11">
      <c r="A714" s="483"/>
      <c r="B714" s="483"/>
      <c r="C714" s="483"/>
      <c r="D714" s="1302"/>
      <c r="E714" s="1302"/>
      <c r="F714" s="1302"/>
      <c r="H714" s="501"/>
      <c r="I714" s="483"/>
      <c r="J714" s="501"/>
      <c r="K714" s="501"/>
    </row>
    <row r="715" spans="1:11" ht="15" customHeight="1">
      <c r="A715" s="483"/>
      <c r="B715" s="483"/>
      <c r="C715" s="483"/>
      <c r="D715" s="1302"/>
      <c r="E715" s="1302"/>
      <c r="F715" s="1302"/>
      <c r="H715" s="501"/>
      <c r="I715" s="483"/>
      <c r="J715" s="501"/>
      <c r="K715" s="501"/>
    </row>
    <row r="716" spans="1:11" ht="15" customHeight="1">
      <c r="A716" s="483"/>
      <c r="B716" s="483"/>
      <c r="C716" s="483"/>
      <c r="D716" s="1302"/>
      <c r="E716" s="1302"/>
      <c r="F716" s="1302"/>
      <c r="H716" s="501"/>
      <c r="I716" s="483"/>
      <c r="J716" s="501"/>
      <c r="K716" s="501"/>
    </row>
    <row r="717" spans="1:11">
      <c r="A717" s="483"/>
      <c r="B717" s="483"/>
      <c r="C717" s="483"/>
      <c r="D717" s="1302"/>
      <c r="E717" s="1302"/>
      <c r="F717" s="1302"/>
      <c r="H717" s="501"/>
      <c r="I717" s="483"/>
      <c r="J717" s="501"/>
      <c r="K717" s="501"/>
    </row>
    <row r="718" spans="1:11">
      <c r="A718" s="483"/>
      <c r="B718" s="483"/>
      <c r="C718" s="483"/>
      <c r="D718" s="1302"/>
      <c r="E718" s="1302"/>
      <c r="F718" s="1302"/>
      <c r="H718" s="501"/>
      <c r="I718" s="483"/>
      <c r="J718" s="501"/>
      <c r="K718" s="501"/>
    </row>
    <row r="719" spans="1:11">
      <c r="A719" s="483"/>
      <c r="B719" s="483"/>
      <c r="C719" s="483"/>
      <c r="D719" s="1302"/>
      <c r="E719" s="1302"/>
      <c r="F719" s="1302"/>
      <c r="H719" s="501"/>
      <c r="I719" s="483"/>
      <c r="J719" s="501"/>
      <c r="K719" s="501"/>
    </row>
    <row r="720" spans="1:11" ht="15" customHeight="1">
      <c r="A720" s="483"/>
      <c r="B720" s="483"/>
      <c r="C720" s="483"/>
      <c r="D720" s="1302"/>
      <c r="E720" s="1302"/>
      <c r="F720" s="1302"/>
      <c r="H720" s="501"/>
      <c r="I720" s="483"/>
      <c r="J720" s="501"/>
      <c r="K720" s="501"/>
    </row>
    <row r="721" spans="1:11">
      <c r="A721" s="483"/>
      <c r="B721" s="483"/>
      <c r="C721" s="483"/>
      <c r="D721" s="1302"/>
      <c r="E721" s="1302"/>
      <c r="F721" s="1302"/>
      <c r="H721" s="501"/>
      <c r="I721" s="483"/>
      <c r="J721" s="501"/>
      <c r="K721" s="501"/>
    </row>
    <row r="722" spans="1:11">
      <c r="A722" s="483"/>
      <c r="B722" s="483"/>
      <c r="C722" s="483"/>
      <c r="D722" s="1302"/>
      <c r="E722" s="1302"/>
      <c r="F722" s="1302"/>
      <c r="H722" s="501"/>
      <c r="I722" s="483"/>
      <c r="J722" s="501"/>
      <c r="K722" s="501"/>
    </row>
    <row r="723" spans="1:11">
      <c r="A723" s="483"/>
      <c r="B723" s="483"/>
      <c r="C723" s="483"/>
      <c r="D723" s="1302"/>
      <c r="E723" s="1302"/>
      <c r="F723" s="1302"/>
      <c r="H723" s="501"/>
      <c r="I723" s="483"/>
      <c r="J723" s="501"/>
      <c r="K723" s="501"/>
    </row>
    <row r="724" spans="1:11">
      <c r="A724" s="483"/>
      <c r="B724" s="483"/>
      <c r="C724" s="483"/>
      <c r="D724" s="1302"/>
      <c r="E724" s="1302"/>
      <c r="F724" s="1302"/>
      <c r="H724" s="501"/>
      <c r="I724" s="483"/>
      <c r="J724" s="501"/>
      <c r="K724" s="501"/>
    </row>
    <row r="725" spans="1:11">
      <c r="A725" s="483"/>
      <c r="B725" s="485" t="s">
        <v>2732</v>
      </c>
      <c r="C725" s="483"/>
      <c r="D725" s="1302" t="s">
        <v>2461</v>
      </c>
      <c r="E725" s="1302"/>
      <c r="F725" s="1302"/>
      <c r="H725" s="501"/>
      <c r="I725" s="483"/>
      <c r="J725" s="501"/>
      <c r="K725" s="501"/>
    </row>
    <row r="726" spans="1:11">
      <c r="A726" s="483"/>
      <c r="B726" s="483"/>
      <c r="C726" s="483"/>
      <c r="D726" s="1302"/>
      <c r="E726" s="1302"/>
      <c r="F726" s="1302"/>
      <c r="H726" s="501"/>
      <c r="I726" s="483"/>
      <c r="J726" s="501"/>
      <c r="K726" s="501"/>
    </row>
    <row r="727" spans="1:11">
      <c r="A727" s="483"/>
      <c r="B727" s="483"/>
      <c r="C727" s="483"/>
      <c r="D727" s="1302"/>
      <c r="E727" s="1302"/>
      <c r="F727" s="1302"/>
      <c r="H727" s="501"/>
      <c r="I727" s="483"/>
      <c r="J727" s="501"/>
      <c r="K727" s="501"/>
    </row>
    <row r="728" spans="1:11">
      <c r="A728" s="483"/>
      <c r="B728" s="483"/>
      <c r="C728" s="483"/>
      <c r="D728" s="445"/>
      <c r="E728" s="445"/>
      <c r="F728" s="445"/>
      <c r="H728" s="501"/>
      <c r="I728" s="483"/>
      <c r="J728" s="501"/>
      <c r="K728" s="501"/>
    </row>
    <row r="729" spans="1:11">
      <c r="A729" s="483"/>
      <c r="B729" s="485" t="s">
        <v>2732</v>
      </c>
      <c r="C729" s="483"/>
      <c r="D729" s="1302" t="s">
        <v>2460</v>
      </c>
      <c r="E729" s="1302"/>
      <c r="F729" s="1302"/>
      <c r="H729" s="501"/>
      <c r="I729" s="483"/>
      <c r="J729" s="501"/>
      <c r="K729" s="501"/>
    </row>
    <row r="730" spans="1:11">
      <c r="A730" s="483"/>
      <c r="B730" s="483"/>
      <c r="C730" s="483"/>
      <c r="D730" s="1302"/>
      <c r="E730" s="1302"/>
      <c r="F730" s="1302"/>
      <c r="H730" s="501"/>
      <c r="I730" s="483"/>
      <c r="J730" s="501"/>
      <c r="K730" s="501"/>
    </row>
    <row r="731" spans="1:11">
      <c r="A731" s="483"/>
      <c r="B731" s="483"/>
      <c r="C731" s="483"/>
      <c r="D731" s="1302"/>
      <c r="E731" s="1302"/>
      <c r="F731" s="1302"/>
      <c r="H731" s="501"/>
      <c r="I731" s="483"/>
      <c r="J731" s="501"/>
      <c r="K731" s="501"/>
    </row>
    <row r="732" spans="1:11">
      <c r="A732" s="483"/>
      <c r="B732" s="483"/>
      <c r="C732" s="483"/>
      <c r="H732" s="501"/>
      <c r="I732" s="483"/>
      <c r="J732" s="501"/>
      <c r="K732" s="501"/>
    </row>
    <row r="733" spans="1:11">
      <c r="A733" s="483"/>
      <c r="B733" s="485" t="s">
        <v>2732</v>
      </c>
      <c r="C733" s="483"/>
      <c r="D733" s="1302" t="s">
        <v>2459</v>
      </c>
      <c r="E733" s="1302"/>
      <c r="F733" s="1302"/>
      <c r="H733" s="501"/>
      <c r="I733" s="483"/>
      <c r="J733" s="501"/>
      <c r="K733" s="501"/>
    </row>
    <row r="734" spans="1:11">
      <c r="A734" s="483"/>
      <c r="B734" s="483"/>
      <c r="C734" s="483"/>
      <c r="D734" s="1302"/>
      <c r="E734" s="1302"/>
      <c r="F734" s="1302"/>
      <c r="H734" s="501"/>
      <c r="I734" s="483"/>
      <c r="J734" s="501"/>
      <c r="K734" s="501"/>
    </row>
    <row r="735" spans="1:11">
      <c r="A735" s="483"/>
      <c r="B735" s="483"/>
      <c r="C735" s="483"/>
      <c r="D735" s="1302"/>
      <c r="E735" s="1302"/>
      <c r="F735" s="1302"/>
      <c r="H735" s="501"/>
      <c r="I735" s="483"/>
      <c r="J735" s="501"/>
      <c r="K735" s="501"/>
    </row>
    <row r="736" spans="1:11">
      <c r="A736" s="483"/>
      <c r="B736" s="483"/>
      <c r="C736" s="483"/>
      <c r="D736" s="1302"/>
      <c r="E736" s="1302"/>
      <c r="F736" s="1302"/>
      <c r="H736" s="501"/>
      <c r="I736" s="483"/>
      <c r="J736" s="501"/>
      <c r="K736" s="501"/>
    </row>
    <row r="737" spans="1:11">
      <c r="A737" s="483"/>
      <c r="B737" s="483"/>
      <c r="C737" s="483"/>
      <c r="H737" s="501"/>
      <c r="I737" s="483"/>
      <c r="J737" s="501"/>
      <c r="K737" s="501"/>
    </row>
    <row r="738" spans="1:11" ht="14.25">
      <c r="A738" s="484"/>
      <c r="B738" s="485" t="s">
        <v>2732</v>
      </c>
      <c r="C738" s="483"/>
      <c r="D738" s="1302" t="s">
        <v>1077</v>
      </c>
      <c r="E738" s="1302"/>
      <c r="F738" s="1302"/>
      <c r="H738" s="501"/>
      <c r="I738" s="483"/>
      <c r="J738" s="501"/>
      <c r="K738" s="501"/>
    </row>
    <row r="739" spans="1:11">
      <c r="A739" s="483"/>
      <c r="B739" s="483"/>
      <c r="C739" s="483"/>
      <c r="D739" s="1302"/>
      <c r="E739" s="1302"/>
      <c r="F739" s="1302"/>
      <c r="H739" s="501"/>
      <c r="I739" s="483"/>
      <c r="J739" s="501"/>
      <c r="K739" s="501"/>
    </row>
    <row r="740" spans="1:11">
      <c r="A740" s="483"/>
      <c r="B740" s="483"/>
      <c r="C740" s="483"/>
      <c r="D740" s="1302"/>
      <c r="E740" s="1302"/>
      <c r="F740" s="1302"/>
      <c r="H740" s="501"/>
      <c r="I740" s="483"/>
      <c r="J740" s="501"/>
      <c r="K740" s="501"/>
    </row>
    <row r="741" spans="1:11">
      <c r="A741" s="483"/>
      <c r="B741" s="483"/>
      <c r="C741" s="483"/>
      <c r="D741" s="1302"/>
      <c r="E741" s="1302"/>
      <c r="F741" s="1302"/>
      <c r="H741" s="501"/>
      <c r="I741" s="483"/>
      <c r="J741" s="501"/>
      <c r="K741" s="501"/>
    </row>
    <row r="742" spans="1:11">
      <c r="A742" s="483"/>
      <c r="B742" s="483"/>
      <c r="C742" s="483"/>
      <c r="D742" s="1302"/>
      <c r="E742" s="1302"/>
      <c r="F742" s="1302"/>
      <c r="H742" s="501"/>
      <c r="I742" s="483"/>
      <c r="J742" s="501"/>
      <c r="K742" s="501"/>
    </row>
    <row r="743" spans="1:11">
      <c r="A743" s="483"/>
      <c r="B743" s="483"/>
      <c r="C743" s="483"/>
      <c r="D743" s="492"/>
      <c r="H743" s="501"/>
      <c r="I743" s="483"/>
      <c r="J743" s="501"/>
      <c r="K743" s="501"/>
    </row>
    <row r="744" spans="1:11" ht="14.25">
      <c r="A744" s="484"/>
      <c r="B744" s="485" t="s">
        <v>2732</v>
      </c>
      <c r="C744" s="483"/>
      <c r="D744" s="1302" t="s">
        <v>2145</v>
      </c>
      <c r="E744" s="1302"/>
      <c r="F744" s="1302"/>
      <c r="H744" s="501"/>
      <c r="I744" s="483"/>
      <c r="J744" s="501"/>
      <c r="K744" s="501"/>
    </row>
    <row r="745" spans="1:11">
      <c r="A745" s="483"/>
      <c r="B745" s="483"/>
      <c r="C745" s="483"/>
      <c r="D745" s="1302"/>
      <c r="E745" s="1302"/>
      <c r="F745" s="1302"/>
      <c r="H745" s="501"/>
      <c r="I745" s="483"/>
      <c r="J745" s="501"/>
      <c r="K745" s="501"/>
    </row>
    <row r="746" spans="1:11">
      <c r="A746" s="483"/>
      <c r="B746" s="483"/>
      <c r="C746" s="483"/>
      <c r="D746" s="1302"/>
      <c r="E746" s="1302"/>
      <c r="F746" s="1302"/>
      <c r="H746" s="501"/>
      <c r="I746" s="483"/>
      <c r="J746" s="501"/>
      <c r="K746" s="501"/>
    </row>
    <row r="747" spans="1:11">
      <c r="A747" s="483"/>
      <c r="B747" s="483"/>
      <c r="C747" s="483"/>
      <c r="D747" s="1302"/>
      <c r="E747" s="1302"/>
      <c r="F747" s="1302"/>
      <c r="H747" s="501"/>
      <c r="I747" s="483"/>
      <c r="J747" s="501"/>
      <c r="K747" s="501"/>
    </row>
    <row r="748" spans="1:11">
      <c r="A748" s="483"/>
      <c r="B748" s="483"/>
      <c r="C748" s="483"/>
      <c r="D748" s="1302"/>
      <c r="E748" s="1302"/>
      <c r="F748" s="1302"/>
      <c r="H748" s="501"/>
      <c r="I748" s="483"/>
      <c r="J748" s="501"/>
      <c r="K748" s="501"/>
    </row>
    <row r="749" spans="1:11">
      <c r="A749" s="483"/>
      <c r="B749" s="483"/>
      <c r="C749" s="483"/>
      <c r="D749" s="1302"/>
      <c r="E749" s="1302"/>
      <c r="F749" s="1302"/>
      <c r="H749" s="501"/>
      <c r="I749" s="483"/>
      <c r="J749" s="501"/>
      <c r="K749" s="501"/>
    </row>
    <row r="750" spans="1:11">
      <c r="A750" s="483"/>
      <c r="B750" s="483"/>
      <c r="C750" s="483"/>
      <c r="D750" s="1302"/>
      <c r="E750" s="1302"/>
      <c r="F750" s="1302"/>
      <c r="H750" s="501"/>
      <c r="I750" s="483"/>
      <c r="J750" s="501"/>
      <c r="K750" s="501"/>
    </row>
    <row r="751" spans="1:11">
      <c r="A751" s="483"/>
      <c r="B751" s="483"/>
      <c r="C751" s="483"/>
      <c r="D751" s="1303" t="s">
        <v>2074</v>
      </c>
      <c r="E751" s="1303"/>
      <c r="F751" s="1303"/>
      <c r="H751" s="501"/>
      <c r="I751" s="483"/>
      <c r="J751" s="501"/>
      <c r="K751" s="501"/>
    </row>
    <row r="752" spans="1:11">
      <c r="A752" s="483"/>
      <c r="B752" s="483"/>
      <c r="C752" s="483"/>
      <c r="D752" s="341"/>
      <c r="H752" s="501"/>
      <c r="I752" s="483"/>
      <c r="J752" s="501"/>
      <c r="K752" s="501"/>
    </row>
    <row r="753" spans="1:11">
      <c r="A753" s="1301" t="s">
        <v>1059</v>
      </c>
      <c r="B753" s="1301"/>
      <c r="C753" s="1301"/>
      <c r="D753" s="1301"/>
      <c r="E753" s="1301"/>
      <c r="F753" s="1301"/>
      <c r="G753" s="1301"/>
      <c r="H753" s="1030"/>
      <c r="I753" s="1157"/>
      <c r="J753" s="501"/>
      <c r="K753" s="501"/>
    </row>
    <row r="754" spans="1:11">
      <c r="A754" s="483"/>
      <c r="B754" s="483"/>
      <c r="C754" s="483"/>
      <c r="D754" s="492"/>
      <c r="G754" s="501"/>
      <c r="H754" s="501"/>
      <c r="I754" s="483"/>
      <c r="J754" s="501"/>
      <c r="K754" s="501"/>
    </row>
    <row r="755" spans="1:11" ht="13.7" customHeight="1">
      <c r="C755" s="483"/>
      <c r="D755" s="1318" t="s">
        <v>1069</v>
      </c>
      <c r="E755" s="1318"/>
      <c r="F755" s="1318"/>
      <c r="G755" s="501"/>
      <c r="H755" s="501"/>
      <c r="I755" s="483"/>
      <c r="J755" s="501"/>
      <c r="K755" s="501"/>
    </row>
    <row r="756" spans="1:11">
      <c r="A756" s="483"/>
      <c r="B756" s="483"/>
      <c r="C756" s="483"/>
      <c r="D756" s="1304" t="s">
        <v>1070</v>
      </c>
      <c r="E756" s="1304"/>
      <c r="F756" s="1304"/>
      <c r="G756" s="501"/>
      <c r="H756" s="501"/>
      <c r="I756" s="483"/>
      <c r="J756" s="501"/>
      <c r="K756" s="501"/>
    </row>
    <row r="757" spans="1:11">
      <c r="A757" s="483"/>
      <c r="B757" s="483"/>
      <c r="C757" s="483"/>
      <c r="G757" s="501"/>
      <c r="H757" s="501"/>
      <c r="I757" s="483"/>
      <c r="J757" s="501"/>
      <c r="K757" s="501"/>
    </row>
    <row r="758" spans="1:11" ht="14.25">
      <c r="A758" s="484"/>
      <c r="B758" s="485" t="s">
        <v>2731</v>
      </c>
      <c r="D758" s="1302" t="s">
        <v>1071</v>
      </c>
      <c r="E758" s="1302"/>
      <c r="F758" s="1302"/>
      <c r="G758" s="501"/>
      <c r="H758" s="501"/>
      <c r="I758" s="483"/>
      <c r="J758" s="501"/>
      <c r="K758" s="501"/>
    </row>
    <row r="759" spans="1:11" ht="10.5" customHeight="1">
      <c r="D759" s="1302"/>
      <c r="E759" s="1302"/>
      <c r="F759" s="1302"/>
      <c r="G759" s="501"/>
      <c r="H759" s="501"/>
      <c r="I759" s="483"/>
      <c r="J759" s="501"/>
      <c r="K759" s="501"/>
    </row>
    <row r="760" spans="1:11">
      <c r="D760" s="1302"/>
      <c r="E760" s="1302"/>
      <c r="F760" s="1302"/>
      <c r="G760" s="501"/>
      <c r="H760" s="501"/>
      <c r="I760" s="483"/>
      <c r="J760" s="501"/>
      <c r="K760" s="501"/>
    </row>
    <row r="761" spans="1:11">
      <c r="D761" s="1302"/>
      <c r="E761" s="1302"/>
      <c r="F761" s="1302"/>
      <c r="G761" s="501"/>
      <c r="H761" s="501"/>
      <c r="I761" s="483"/>
      <c r="J761" s="501"/>
      <c r="K761" s="501"/>
    </row>
    <row r="762" spans="1:11">
      <c r="D762" s="1302"/>
      <c r="E762" s="1302"/>
      <c r="F762" s="1302"/>
      <c r="G762" s="501"/>
      <c r="H762" s="501"/>
      <c r="I762" s="483"/>
      <c r="J762" s="501"/>
      <c r="K762" s="501"/>
    </row>
    <row r="763" spans="1:11" ht="15.6" customHeight="1">
      <c r="D763" s="1302"/>
      <c r="E763" s="1302"/>
      <c r="F763" s="1302"/>
      <c r="G763" s="501"/>
      <c r="H763" s="501"/>
      <c r="I763" s="483"/>
      <c r="J763" s="501"/>
      <c r="K763" s="501"/>
    </row>
    <row r="764" spans="1:11">
      <c r="D764" s="499"/>
      <c r="E764" s="446"/>
      <c r="F764" s="446"/>
      <c r="G764" s="501"/>
      <c r="H764" s="501"/>
      <c r="I764" s="483"/>
      <c r="J764" s="501"/>
      <c r="K764" s="501"/>
    </row>
    <row r="765" spans="1:11" s="505" customFormat="1" ht="14.25">
      <c r="A765" s="503"/>
      <c r="B765" s="485" t="s">
        <v>2732</v>
      </c>
      <c r="C765" s="504"/>
      <c r="D765" s="1302" t="s">
        <v>1240</v>
      </c>
      <c r="E765" s="1302"/>
      <c r="F765" s="1302"/>
      <c r="I765" s="1158"/>
    </row>
    <row r="766" spans="1:11" s="505" customFormat="1">
      <c r="A766" s="504"/>
      <c r="B766" s="504"/>
      <c r="C766" s="504"/>
      <c r="D766" s="1302"/>
      <c r="E766" s="1302"/>
      <c r="F766" s="1302"/>
      <c r="I766" s="1158"/>
    </row>
    <row r="767" spans="1:11" s="505" customFormat="1">
      <c r="A767" s="504"/>
      <c r="B767" s="504"/>
      <c r="C767" s="504"/>
      <c r="D767" s="1302"/>
      <c r="E767" s="1302"/>
      <c r="F767" s="1302"/>
      <c r="I767" s="1158"/>
    </row>
    <row r="768" spans="1:11" s="505" customFormat="1">
      <c r="A768" s="504"/>
      <c r="B768" s="504"/>
      <c r="C768" s="504"/>
      <c r="D768" s="1302"/>
      <c r="E768" s="1302"/>
      <c r="F768" s="1302"/>
      <c r="I768" s="1158"/>
    </row>
    <row r="769" spans="1:11" s="505" customFormat="1">
      <c r="A769" s="504"/>
      <c r="B769" s="504"/>
      <c r="C769" s="504"/>
      <c r="D769" s="499"/>
      <c r="I769" s="1158"/>
    </row>
    <row r="770" spans="1:11" s="505" customFormat="1" ht="14.25">
      <c r="A770" s="484"/>
      <c r="B770" s="485" t="s">
        <v>2732</v>
      </c>
      <c r="C770" s="504"/>
      <c r="D770" s="1308" t="s">
        <v>1241</v>
      </c>
      <c r="E770" s="1308"/>
      <c r="F770" s="1308"/>
      <c r="I770" s="1158"/>
    </row>
    <row r="771" spans="1:11" s="505" customFormat="1">
      <c r="A771" s="504"/>
      <c r="B771" s="504"/>
      <c r="C771" s="504"/>
      <c r="D771" s="1308"/>
      <c r="E771" s="1308"/>
      <c r="F771" s="1308"/>
      <c r="I771" s="1158"/>
    </row>
    <row r="772" spans="1:11" s="505" customFormat="1">
      <c r="A772" s="504"/>
      <c r="B772" s="504"/>
      <c r="C772" s="504"/>
      <c r="D772" s="1308"/>
      <c r="E772" s="1308"/>
      <c r="F772" s="1308"/>
      <c r="I772" s="1158"/>
    </row>
    <row r="773" spans="1:11">
      <c r="D773" s="499"/>
      <c r="E773" s="446"/>
      <c r="F773" s="446"/>
      <c r="G773" s="501"/>
      <c r="H773" s="501"/>
      <c r="I773" s="483"/>
      <c r="J773" s="501"/>
      <c r="K773" s="501"/>
    </row>
    <row r="774" spans="1:11" ht="14.25">
      <c r="A774" s="484"/>
      <c r="B774" s="485" t="s">
        <v>2732</v>
      </c>
      <c r="D774" s="1302" t="s">
        <v>1197</v>
      </c>
      <c r="E774" s="1302"/>
      <c r="F774" s="1302"/>
      <c r="G774" s="501"/>
      <c r="H774" s="501"/>
      <c r="I774" s="483"/>
      <c r="J774" s="501"/>
      <c r="K774" s="501"/>
    </row>
    <row r="775" spans="1:11">
      <c r="D775" s="1302"/>
      <c r="E775" s="1302"/>
      <c r="F775" s="1302"/>
      <c r="G775" s="501"/>
      <c r="H775" s="501"/>
      <c r="I775" s="483"/>
      <c r="J775" s="501"/>
      <c r="K775" s="501"/>
    </row>
    <row r="776" spans="1:11">
      <c r="D776" s="445"/>
      <c r="E776" s="445"/>
      <c r="F776" s="445"/>
      <c r="G776" s="501"/>
      <c r="H776" s="501"/>
      <c r="I776" s="483"/>
      <c r="J776" s="501"/>
      <c r="K776" s="501"/>
    </row>
    <row r="777" spans="1:11">
      <c r="B777" s="485" t="s">
        <v>2732</v>
      </c>
      <c r="D777" s="1302" t="s">
        <v>1214</v>
      </c>
      <c r="E777" s="1302"/>
      <c r="F777" s="1302"/>
      <c r="G777" s="501"/>
      <c r="H777" s="501"/>
      <c r="I777" s="483"/>
      <c r="J777" s="501"/>
      <c r="K777" s="501"/>
    </row>
    <row r="778" spans="1:11">
      <c r="D778" s="1302"/>
      <c r="E778" s="1302"/>
      <c r="F778" s="1302"/>
      <c r="G778" s="501"/>
      <c r="H778" s="501"/>
      <c r="I778" s="483"/>
      <c r="J778" s="501"/>
      <c r="K778" s="501"/>
    </row>
    <row r="779" spans="1:11">
      <c r="D779" s="1302"/>
      <c r="E779" s="1302"/>
      <c r="F779" s="1302"/>
      <c r="G779" s="501"/>
      <c r="H779" s="501"/>
      <c r="I779" s="483"/>
      <c r="J779" s="501"/>
      <c r="K779" s="501"/>
    </row>
    <row r="780" spans="1:11">
      <c r="D780" s="445"/>
      <c r="E780" s="445"/>
      <c r="F780" s="445"/>
      <c r="G780" s="501"/>
      <c r="H780" s="501"/>
      <c r="I780" s="483"/>
      <c r="J780" s="501"/>
      <c r="K780" s="501"/>
    </row>
    <row r="781" spans="1:11">
      <c r="A781" s="1317" t="s">
        <v>1800</v>
      </c>
      <c r="B781" s="1317"/>
      <c r="C781" s="1317"/>
      <c r="D781" s="1317"/>
      <c r="E781" s="1317"/>
      <c r="F781" s="1317"/>
      <c r="G781" s="1317"/>
      <c r="H781" s="1028"/>
      <c r="I781" s="1153"/>
    </row>
    <row r="782" spans="1:11">
      <c r="A782" s="57"/>
      <c r="B782" s="57"/>
      <c r="C782" s="354"/>
      <c r="D782" s="3"/>
      <c r="E782" s="3"/>
      <c r="F782" s="3"/>
      <c r="G782" s="3"/>
      <c r="I782" s="490"/>
    </row>
    <row r="783" spans="1:11">
      <c r="A783" s="57"/>
      <c r="B783" s="57"/>
      <c r="C783" s="354"/>
      <c r="D783" s="1316" t="s">
        <v>1854</v>
      </c>
      <c r="E783" s="1316"/>
      <c r="F783" s="1316"/>
      <c r="G783" s="3"/>
      <c r="I783" s="490"/>
    </row>
    <row r="784" spans="1:11">
      <c r="A784" s="57"/>
      <c r="B784" s="57"/>
      <c r="C784" s="354"/>
      <c r="D784" s="1319" t="s">
        <v>1754</v>
      </c>
      <c r="E784" s="1319"/>
      <c r="F784" s="1319"/>
      <c r="G784" s="3"/>
      <c r="I784" s="490"/>
    </row>
    <row r="785" spans="1:9">
      <c r="A785" s="57"/>
      <c r="B785" s="57"/>
      <c r="C785" s="354"/>
      <c r="D785" s="447"/>
      <c r="E785" s="447"/>
      <c r="F785" s="447"/>
      <c r="G785" s="3"/>
      <c r="I785" s="490"/>
    </row>
    <row r="786" spans="1:9">
      <c r="A786" s="57"/>
      <c r="B786" s="485" t="s">
        <v>2731</v>
      </c>
      <c r="C786" s="354"/>
      <c r="D786" s="1295" t="s">
        <v>1755</v>
      </c>
      <c r="E786" s="1295"/>
      <c r="F786" s="1295"/>
      <c r="G786" s="3"/>
      <c r="I786" s="483"/>
    </row>
    <row r="787" spans="1:9">
      <c r="A787" s="57"/>
      <c r="B787" s="57"/>
      <c r="C787" s="354"/>
      <c r="D787" s="1295"/>
      <c r="E787" s="1295"/>
      <c r="F787" s="1295"/>
      <c r="G787" s="3"/>
      <c r="I787" s="490"/>
    </row>
    <row r="788" spans="1:9">
      <c r="A788" s="174"/>
      <c r="B788" s="174"/>
      <c r="C788" s="174"/>
      <c r="D788" s="1295"/>
      <c r="E788" s="1295"/>
      <c r="F788" s="1295"/>
      <c r="G788" s="118"/>
      <c r="I788" s="490"/>
    </row>
    <row r="789" spans="1:9">
      <c r="A789" s="354"/>
      <c r="B789" s="354"/>
      <c r="C789" s="354"/>
      <c r="D789" s="173"/>
      <c r="E789" s="3"/>
      <c r="F789" s="3"/>
      <c r="G789" s="3"/>
      <c r="I789" s="490"/>
    </row>
    <row r="790" spans="1:9">
      <c r="A790" s="172"/>
      <c r="B790" s="485" t="s">
        <v>2732</v>
      </c>
      <c r="C790" s="172"/>
      <c r="D790" s="1295" t="s">
        <v>1756</v>
      </c>
      <c r="E790" s="1295"/>
      <c r="F790" s="1295"/>
      <c r="G790" s="3"/>
      <c r="I790" s="483"/>
    </row>
    <row r="791" spans="1:9">
      <c r="A791" s="172"/>
      <c r="B791" s="172"/>
      <c r="C791" s="172"/>
      <c r="D791" s="1295"/>
      <c r="E791" s="1295"/>
      <c r="F791" s="1295"/>
      <c r="G791" s="3"/>
      <c r="I791" s="490"/>
    </row>
    <row r="792" spans="1:9">
      <c r="A792" s="172"/>
      <c r="B792" s="172"/>
      <c r="C792" s="172"/>
      <c r="D792" s="1295"/>
      <c r="E792" s="1295"/>
      <c r="F792" s="1295"/>
      <c r="G792" s="3"/>
      <c r="I792" s="490"/>
    </row>
    <row r="793" spans="1:9">
      <c r="A793" s="174"/>
      <c r="B793" s="174"/>
      <c r="C793" s="174"/>
      <c r="D793" s="3"/>
      <c r="E793" s="988"/>
      <c r="F793" s="988"/>
      <c r="G793" s="988"/>
      <c r="I793" s="490"/>
    </row>
    <row r="794" spans="1:9" ht="14.25">
      <c r="A794" s="175"/>
      <c r="B794" s="485" t="s">
        <v>2732</v>
      </c>
      <c r="C794" s="989"/>
      <c r="D794" s="1295" t="s">
        <v>1757</v>
      </c>
      <c r="E794" s="1295"/>
      <c r="F794" s="1295"/>
      <c r="G794" s="988"/>
      <c r="I794" s="483"/>
    </row>
    <row r="795" spans="1:9" ht="14.25">
      <c r="A795" s="175"/>
      <c r="B795" s="175"/>
      <c r="C795" s="989"/>
      <c r="D795" s="1295"/>
      <c r="E795" s="1295"/>
      <c r="F795" s="1295"/>
      <c r="G795" s="988"/>
      <c r="I795" s="490"/>
    </row>
    <row r="796" spans="1:9" ht="14.25">
      <c r="A796" s="175"/>
      <c r="B796" s="175"/>
      <c r="C796" s="989"/>
      <c r="D796" s="1295"/>
      <c r="E796" s="1295"/>
      <c r="F796" s="1295"/>
      <c r="G796" s="988"/>
      <c r="I796" s="490"/>
    </row>
    <row r="797" spans="1:9" ht="14.25">
      <c r="A797" s="175"/>
      <c r="B797" s="175"/>
      <c r="C797" s="989"/>
      <c r="D797" s="118"/>
      <c r="E797" s="3"/>
      <c r="F797" s="3"/>
      <c r="G797" s="988"/>
      <c r="I797" s="490"/>
    </row>
    <row r="798" spans="1:9" ht="14.25">
      <c r="A798" s="175"/>
      <c r="B798" s="485" t="s">
        <v>2732</v>
      </c>
      <c r="C798" s="989"/>
      <c r="D798" s="1295" t="s">
        <v>1758</v>
      </c>
      <c r="E798" s="1295"/>
      <c r="F798" s="1295"/>
      <c r="G798" s="988"/>
      <c r="I798" s="483"/>
    </row>
    <row r="799" spans="1:9" ht="14.25">
      <c r="A799" s="175"/>
      <c r="B799" s="175"/>
      <c r="C799" s="989"/>
      <c r="D799" s="1295"/>
      <c r="E799" s="1295"/>
      <c r="F799" s="1295"/>
      <c r="G799" s="988"/>
      <c r="I799" s="490"/>
    </row>
    <row r="800" spans="1:9" ht="14.25">
      <c r="A800" s="175"/>
      <c r="B800" s="175"/>
      <c r="C800" s="989"/>
      <c r="D800" s="1295"/>
      <c r="E800" s="1295"/>
      <c r="F800" s="1295"/>
      <c r="G800" s="988"/>
      <c r="I800" s="490"/>
    </row>
    <row r="801" spans="1:9" ht="14.25">
      <c r="A801" s="175"/>
      <c r="B801" s="175"/>
      <c r="C801" s="989"/>
      <c r="D801" s="1295"/>
      <c r="E801" s="1295"/>
      <c r="F801" s="1295"/>
      <c r="G801" s="988"/>
      <c r="I801" s="490"/>
    </row>
    <row r="802" spans="1:9" ht="14.25">
      <c r="A802" s="175"/>
      <c r="B802" s="175"/>
      <c r="C802" s="989"/>
      <c r="D802" s="1295"/>
      <c r="E802" s="1295"/>
      <c r="F802" s="1295"/>
      <c r="G802" s="988"/>
      <c r="I802" s="490"/>
    </row>
    <row r="803" spans="1:9" ht="14.25">
      <c r="A803" s="175"/>
      <c r="B803" s="175"/>
      <c r="C803" s="989"/>
      <c r="D803" s="1295"/>
      <c r="E803" s="1295"/>
      <c r="F803" s="1295"/>
      <c r="G803" s="988"/>
      <c r="I803" s="490"/>
    </row>
    <row r="804" spans="1:9" ht="14.25">
      <c r="A804" s="175"/>
      <c r="B804" s="175"/>
      <c r="C804" s="989"/>
      <c r="D804" s="1295" t="s">
        <v>1801</v>
      </c>
      <c r="E804" s="1295"/>
      <c r="F804" s="1295"/>
      <c r="G804" s="988"/>
      <c r="I804" s="490"/>
    </row>
    <row r="805" spans="1:9" ht="14.25">
      <c r="A805" s="175"/>
      <c r="B805" s="175"/>
      <c r="C805" s="989"/>
      <c r="D805" s="1295"/>
      <c r="E805" s="1295"/>
      <c r="F805" s="1295"/>
      <c r="G805" s="988"/>
      <c r="I805" s="490"/>
    </row>
    <row r="806" spans="1:9" ht="14.25">
      <c r="A806" s="175"/>
      <c r="B806" s="175"/>
      <c r="C806" s="989"/>
      <c r="D806" s="1295"/>
      <c r="E806" s="1295"/>
      <c r="F806" s="1295"/>
      <c r="G806" s="988"/>
      <c r="I806" s="490"/>
    </row>
    <row r="807" spans="1:9" ht="14.25">
      <c r="A807" s="175"/>
      <c r="B807" s="354"/>
      <c r="C807" s="989"/>
      <c r="D807" s="990"/>
      <c r="E807" s="990"/>
      <c r="F807" s="990"/>
      <c r="G807" s="988"/>
      <c r="I807" s="490"/>
    </row>
    <row r="808" spans="1:9" ht="14.25">
      <c r="A808" s="175"/>
      <c r="B808" s="485" t="s">
        <v>2732</v>
      </c>
      <c r="C808" s="989"/>
      <c r="D808" s="1295" t="s">
        <v>1759</v>
      </c>
      <c r="E808" s="1295"/>
      <c r="F808" s="1295"/>
      <c r="G808" s="988"/>
      <c r="I808" s="483"/>
    </row>
    <row r="809" spans="1:9" ht="14.25">
      <c r="A809" s="175"/>
      <c r="B809" s="175"/>
      <c r="C809" s="989"/>
      <c r="D809" s="1295"/>
      <c r="E809" s="1295"/>
      <c r="F809" s="1295"/>
      <c r="G809" s="988"/>
      <c r="I809" s="490"/>
    </row>
    <row r="810" spans="1:9" ht="14.25">
      <c r="A810" s="175"/>
      <c r="B810" s="175"/>
      <c r="C810" s="989"/>
      <c r="D810" s="1295"/>
      <c r="E810" s="1295"/>
      <c r="F810" s="1295"/>
      <c r="G810" s="988"/>
      <c r="I810" s="490"/>
    </row>
    <row r="811" spans="1:9" ht="14.25">
      <c r="A811" s="175"/>
      <c r="B811" s="175"/>
      <c r="C811" s="989"/>
      <c r="D811" s="1295"/>
      <c r="E811" s="1295"/>
      <c r="F811" s="1295"/>
      <c r="G811" s="988"/>
      <c r="I811" s="490"/>
    </row>
    <row r="812" spans="1:9" ht="14.25">
      <c r="A812" s="175"/>
      <c r="B812" s="175"/>
      <c r="C812" s="989"/>
      <c r="D812" s="1295"/>
      <c r="E812" s="1295"/>
      <c r="F812" s="1295"/>
      <c r="G812" s="988"/>
      <c r="I812" s="490"/>
    </row>
    <row r="813" spans="1:9" ht="14.25">
      <c r="A813" s="175"/>
      <c r="B813" s="175"/>
      <c r="C813" s="989"/>
      <c r="D813" s="1295"/>
      <c r="E813" s="1295"/>
      <c r="F813" s="1295"/>
      <c r="G813" s="988"/>
      <c r="I813" s="490"/>
    </row>
    <row r="814" spans="1:9" ht="14.25">
      <c r="A814" s="175"/>
      <c r="B814" s="175"/>
      <c r="C814" s="989"/>
      <c r="D814" s="982"/>
      <c r="E814" s="982"/>
      <c r="F814" s="982"/>
      <c r="G814" s="988"/>
      <c r="I814" s="490"/>
    </row>
    <row r="815" spans="1:9" ht="14.25">
      <c r="A815" s="175"/>
      <c r="B815" s="485" t="s">
        <v>2732</v>
      </c>
      <c r="C815" s="989"/>
      <c r="D815" s="1295" t="s">
        <v>1760</v>
      </c>
      <c r="E815" s="1295"/>
      <c r="F815" s="1295"/>
      <c r="G815" s="988"/>
      <c r="I815" s="483"/>
    </row>
    <row r="816" spans="1:9" ht="14.25">
      <c r="A816" s="175"/>
      <c r="B816" s="175"/>
      <c r="C816" s="989"/>
      <c r="D816" s="1295"/>
      <c r="E816" s="1295"/>
      <c r="F816" s="1295"/>
      <c r="G816" s="988"/>
      <c r="I816" s="490"/>
    </row>
    <row r="817" spans="1:9" ht="14.25">
      <c r="A817" s="175"/>
      <c r="B817" s="175"/>
      <c r="C817" s="989"/>
      <c r="D817" s="1295"/>
      <c r="E817" s="1295"/>
      <c r="F817" s="1295"/>
      <c r="G817" s="988"/>
      <c r="I817" s="490"/>
    </row>
    <row r="818" spans="1:9" ht="14.25">
      <c r="A818" s="175"/>
      <c r="B818" s="175"/>
      <c r="C818" s="989"/>
      <c r="D818" s="1295"/>
      <c r="E818" s="1295"/>
      <c r="F818" s="1295"/>
      <c r="G818" s="988"/>
      <c r="I818" s="490"/>
    </row>
    <row r="819" spans="1:9" ht="14.25">
      <c r="A819" s="175"/>
      <c r="B819" s="175"/>
      <c r="C819" s="989"/>
      <c r="D819" s="1295"/>
      <c r="E819" s="1295"/>
      <c r="F819" s="1295"/>
      <c r="G819" s="988"/>
      <c r="I819" s="490"/>
    </row>
    <row r="820" spans="1:9" ht="14.25">
      <c r="A820" s="175"/>
      <c r="B820" s="175"/>
      <c r="C820" s="989"/>
      <c r="D820" s="1295"/>
      <c r="E820" s="1295"/>
      <c r="F820" s="1295"/>
      <c r="G820" s="988"/>
      <c r="I820" s="490"/>
    </row>
    <row r="821" spans="1:9" ht="14.25">
      <c r="A821" s="175"/>
      <c r="B821" s="175"/>
      <c r="C821" s="989"/>
      <c r="D821" s="982"/>
      <c r="E821" s="982"/>
      <c r="F821" s="982"/>
      <c r="G821" s="988"/>
      <c r="I821" s="490"/>
    </row>
    <row r="822" spans="1:9" ht="14.25">
      <c r="A822" s="175"/>
      <c r="B822" s="485" t="s">
        <v>2732</v>
      </c>
      <c r="C822" s="989"/>
      <c r="D822" s="1290" t="s">
        <v>1761</v>
      </c>
      <c r="E822" s="1290"/>
      <c r="F822" s="1290"/>
      <c r="G822" s="988"/>
      <c r="I822" s="483"/>
    </row>
    <row r="823" spans="1:9" ht="14.25">
      <c r="A823" s="175"/>
      <c r="B823" s="175"/>
      <c r="C823" s="989"/>
      <c r="D823" s="1290"/>
      <c r="E823" s="1290"/>
      <c r="F823" s="1290"/>
      <c r="G823" s="988"/>
      <c r="I823" s="490"/>
    </row>
    <row r="824" spans="1:9">
      <c r="A824" s="13"/>
      <c r="B824" s="13"/>
      <c r="C824" s="989"/>
      <c r="D824" s="1290"/>
      <c r="E824" s="1290"/>
      <c r="F824" s="1290"/>
      <c r="G824" s="988"/>
      <c r="I824" s="490"/>
    </row>
    <row r="825" spans="1:9" ht="14.25">
      <c r="A825" s="175"/>
      <c r="B825" s="13"/>
      <c r="C825" s="989"/>
      <c r="D825" s="1290"/>
      <c r="E825" s="1290"/>
      <c r="F825" s="1290"/>
      <c r="G825" s="988"/>
      <c r="I825" s="490"/>
    </row>
    <row r="826" spans="1:9" ht="12.75" customHeight="1">
      <c r="A826" s="175"/>
      <c r="B826" s="13"/>
      <c r="C826" s="989"/>
      <c r="D826" s="1290"/>
      <c r="E826" s="1290"/>
      <c r="F826" s="1290"/>
      <c r="G826" s="988"/>
      <c r="I826" s="490"/>
    </row>
    <row r="827" spans="1:9" ht="12.75" customHeight="1">
      <c r="A827" s="175"/>
      <c r="B827" s="13"/>
      <c r="C827" s="989"/>
      <c r="D827" s="1290"/>
      <c r="E827" s="1290"/>
      <c r="F827" s="1290"/>
      <c r="G827" s="988"/>
      <c r="I827" s="490"/>
    </row>
    <row r="828" spans="1:9" ht="12.75" customHeight="1">
      <c r="A828" s="13"/>
      <c r="B828" s="13"/>
      <c r="C828" s="989"/>
      <c r="D828" s="988"/>
      <c r="E828" s="3"/>
      <c r="F828" s="3"/>
      <c r="G828" s="988"/>
      <c r="I828" s="490"/>
    </row>
    <row r="829" spans="1:9" ht="12.75" customHeight="1">
      <c r="A829" s="1286" t="s">
        <v>1762</v>
      </c>
      <c r="B829" s="1286"/>
      <c r="C829" s="1286"/>
      <c r="D829" s="1286"/>
      <c r="E829" s="1286"/>
      <c r="F829" s="1286"/>
      <c r="G829" s="1286"/>
      <c r="H829" s="1028"/>
      <c r="I829" s="1153"/>
    </row>
    <row r="830" spans="1:9" ht="12.75" customHeight="1">
      <c r="A830" s="172"/>
      <c r="B830" s="172"/>
      <c r="C830" s="989"/>
      <c r="D830" s="988"/>
      <c r="E830" s="988"/>
      <c r="F830" s="988"/>
      <c r="G830" s="988"/>
      <c r="I830" s="490"/>
    </row>
    <row r="831" spans="1:9" ht="12.75" customHeight="1">
      <c r="A831" s="175"/>
      <c r="B831" s="175"/>
      <c r="C831" s="354"/>
      <c r="D831" s="1306" t="s">
        <v>1802</v>
      </c>
      <c r="E831" s="1306"/>
      <c r="F831" s="1306"/>
      <c r="G831" s="3"/>
      <c r="I831" s="490"/>
    </row>
    <row r="832" spans="1:9" ht="14.25" customHeight="1">
      <c r="A832" s="175"/>
      <c r="B832" s="175"/>
      <c r="C832" s="354"/>
      <c r="D832" s="1263" t="s">
        <v>1763</v>
      </c>
      <c r="E832" s="1263"/>
      <c r="F832" s="1263"/>
      <c r="G832" s="3"/>
      <c r="I832" s="490"/>
    </row>
    <row r="833" spans="1:9" ht="12.75" customHeight="1">
      <c r="A833" s="175"/>
      <c r="B833" s="175"/>
      <c r="C833" s="354"/>
      <c r="D833" s="441"/>
      <c r="E833" s="441"/>
      <c r="F833" s="441"/>
      <c r="G833" s="3"/>
      <c r="I833" s="490"/>
    </row>
    <row r="834" spans="1:9" ht="12.75" customHeight="1">
      <c r="A834" s="354"/>
      <c r="B834" s="485" t="s">
        <v>2731</v>
      </c>
      <c r="C834" s="989"/>
      <c r="D834" s="1263" t="s">
        <v>1764</v>
      </c>
      <c r="E834" s="1263"/>
      <c r="F834" s="1263"/>
      <c r="G834" s="3"/>
      <c r="I834" s="490" t="s">
        <v>1879</v>
      </c>
    </row>
    <row r="835" spans="1:9" ht="14.25" customHeight="1">
      <c r="A835" s="13"/>
      <c r="B835" s="13"/>
      <c r="C835" s="989"/>
      <c r="E835" s="1036" t="s">
        <v>1895</v>
      </c>
      <c r="F835" s="1038"/>
      <c r="G835" s="3"/>
      <c r="I835" s="490"/>
    </row>
    <row r="836" spans="1:9" ht="12.75" customHeight="1">
      <c r="A836" s="13"/>
      <c r="B836" s="13"/>
      <c r="C836" s="989"/>
      <c r="D836" s="991"/>
      <c r="E836" s="3"/>
      <c r="F836" s="3"/>
      <c r="G836" s="3"/>
      <c r="I836" s="490"/>
    </row>
    <row r="837" spans="1:9" ht="14.25" hidden="1" customHeight="1">
      <c r="A837" s="13"/>
      <c r="B837" s="485" t="s">
        <v>306</v>
      </c>
      <c r="C837" s="989"/>
      <c r="D837" s="1307" t="s">
        <v>2075</v>
      </c>
      <c r="E837" s="1307"/>
      <c r="F837" s="1307"/>
      <c r="G837" s="3"/>
      <c r="I837" s="490"/>
    </row>
    <row r="838" spans="1:9" ht="12.75" hidden="1" customHeight="1">
      <c r="A838" s="13"/>
      <c r="B838" s="13"/>
      <c r="C838" s="989"/>
      <c r="D838" s="1307"/>
      <c r="E838" s="1307"/>
      <c r="F838" s="1307"/>
      <c r="G838" s="3"/>
      <c r="I838" s="490"/>
    </row>
    <row r="839" spans="1:9" ht="12.75" hidden="1" customHeight="1">
      <c r="A839" s="13"/>
      <c r="B839" s="13"/>
      <c r="C839" s="989"/>
      <c r="D839" s="1307"/>
      <c r="E839" s="1307"/>
      <c r="F839" s="1307"/>
      <c r="G839" s="3"/>
      <c r="I839" s="490"/>
    </row>
    <row r="840" spans="1:9" ht="12.75" hidden="1" customHeight="1">
      <c r="A840" s="13"/>
      <c r="B840" s="13"/>
      <c r="C840" s="989"/>
      <c r="D840" s="1307"/>
      <c r="E840" s="1307"/>
      <c r="F840" s="1307"/>
      <c r="G840" s="3"/>
      <c r="I840" s="490"/>
    </row>
    <row r="841" spans="1:9" ht="12.75" hidden="1" customHeight="1">
      <c r="A841" s="13"/>
      <c r="B841" s="13"/>
      <c r="C841" s="989"/>
      <c r="D841" s="1307"/>
      <c r="E841" s="1307"/>
      <c r="F841" s="1307"/>
      <c r="G841" s="3"/>
      <c r="I841" s="490"/>
    </row>
    <row r="842" spans="1:9" ht="12.75" hidden="1" customHeight="1">
      <c r="A842" s="13"/>
      <c r="B842" s="13"/>
      <c r="C842" s="989"/>
      <c r="D842" s="1307"/>
      <c r="E842" s="1307"/>
      <c r="F842" s="1307"/>
      <c r="G842" s="3"/>
      <c r="I842" s="490"/>
    </row>
    <row r="843" spans="1:9" ht="12.75" hidden="1" customHeight="1">
      <c r="A843" s="13"/>
      <c r="B843" s="13"/>
      <c r="C843" s="989"/>
      <c r="D843" s="1307"/>
      <c r="E843" s="1307"/>
      <c r="F843" s="1307"/>
      <c r="G843" s="3"/>
      <c r="I843" s="490"/>
    </row>
    <row r="844" spans="1:9" ht="12.75" hidden="1" customHeight="1">
      <c r="A844" s="13"/>
      <c r="B844" s="13"/>
      <c r="C844" s="989"/>
      <c r="D844" s="1307"/>
      <c r="E844" s="1307"/>
      <c r="F844" s="1307"/>
      <c r="G844" s="3"/>
      <c r="I844" s="490"/>
    </row>
    <row r="845" spans="1:9" ht="12.75" hidden="1" customHeight="1">
      <c r="A845" s="13"/>
      <c r="B845" s="13"/>
      <c r="C845" s="989"/>
      <c r="D845" s="1307"/>
      <c r="E845" s="1307"/>
      <c r="F845" s="1307"/>
      <c r="G845" s="3"/>
      <c r="I845" s="490"/>
    </row>
    <row r="846" spans="1:9" ht="12.75" hidden="1" customHeight="1">
      <c r="A846" s="13"/>
      <c r="B846" s="13"/>
      <c r="C846" s="989"/>
      <c r="D846" s="1307"/>
      <c r="E846" s="1307"/>
      <c r="F846" s="1307"/>
      <c r="G846" s="3"/>
      <c r="I846" s="490"/>
    </row>
    <row r="847" spans="1:9" ht="12.75" hidden="1" customHeight="1">
      <c r="A847" s="13"/>
      <c r="B847" s="13"/>
      <c r="C847" s="989"/>
      <c r="D847" s="991"/>
      <c r="E847" s="3"/>
      <c r="F847" s="3"/>
      <c r="G847" s="3"/>
      <c r="I847" s="490"/>
    </row>
    <row r="848" spans="1:9" ht="12.75" customHeight="1">
      <c r="A848" s="175"/>
      <c r="B848" s="485" t="s">
        <v>2733</v>
      </c>
      <c r="C848" s="989"/>
      <c r="D848" s="1263" t="s">
        <v>1765</v>
      </c>
      <c r="E848" s="1263"/>
      <c r="F848" s="1263"/>
      <c r="G848" s="3"/>
      <c r="I848" s="490" t="s">
        <v>1882</v>
      </c>
    </row>
    <row r="849" spans="1:9" ht="12.75" customHeight="1">
      <c r="A849" s="175"/>
      <c r="B849" s="175"/>
      <c r="C849" s="989"/>
      <c r="D849" s="1263"/>
      <c r="E849" s="1263"/>
      <c r="F849" s="1263"/>
      <c r="G849" s="3"/>
      <c r="I849" s="490"/>
    </row>
    <row r="850" spans="1:9" ht="12.75" customHeight="1">
      <c r="A850" s="175"/>
      <c r="B850" s="175"/>
      <c r="C850" s="989"/>
      <c r="D850" s="1263"/>
      <c r="E850" s="1263"/>
      <c r="F850" s="1263"/>
      <c r="G850" s="3"/>
      <c r="I850" s="490"/>
    </row>
    <row r="851" spans="1:9" ht="12.75" customHeight="1">
      <c r="A851" s="175"/>
      <c r="B851" s="175"/>
      <c r="C851" s="989"/>
      <c r="D851" s="118"/>
      <c r="E851" s="3"/>
      <c r="F851" s="3"/>
      <c r="G851" s="3"/>
      <c r="I851" s="490"/>
    </row>
    <row r="852" spans="1:9" ht="12.75" customHeight="1">
      <c r="A852" s="992"/>
      <c r="B852" s="485" t="s">
        <v>2732</v>
      </c>
      <c r="C852" s="989"/>
      <c r="D852" s="1306" t="s">
        <v>1766</v>
      </c>
      <c r="E852" s="1306"/>
      <c r="F852" s="1306"/>
      <c r="G852" s="3"/>
      <c r="I852" s="490"/>
    </row>
    <row r="853" spans="1:9" ht="12.75" customHeight="1">
      <c r="A853" s="354"/>
      <c r="B853" s="992"/>
      <c r="C853" s="989"/>
      <c r="D853" s="1306"/>
      <c r="E853" s="1306"/>
      <c r="F853" s="1306"/>
      <c r="G853" s="3"/>
      <c r="I853" s="490"/>
    </row>
    <row r="854" spans="1:9" ht="12.75" customHeight="1">
      <c r="A854" s="175"/>
      <c r="B854" s="354"/>
      <c r="C854" s="989"/>
      <c r="D854" s="1263" t="s">
        <v>2068</v>
      </c>
      <c r="E854" s="1263"/>
      <c r="F854" s="1263"/>
      <c r="G854" s="3"/>
      <c r="I854" s="490"/>
    </row>
    <row r="855" spans="1:9" ht="12.75" customHeight="1">
      <c r="A855" s="175"/>
      <c r="B855" s="175"/>
      <c r="C855" s="989"/>
      <c r="D855" s="1263"/>
      <c r="E855" s="1263"/>
      <c r="F855" s="1263"/>
      <c r="G855" s="3"/>
      <c r="I855" s="490"/>
    </row>
    <row r="856" spans="1:9" ht="12.75" customHeight="1">
      <c r="A856" s="175"/>
      <c r="B856" s="175"/>
      <c r="C856" s="989"/>
      <c r="D856" s="1263"/>
      <c r="E856" s="1263"/>
      <c r="F856" s="1263"/>
      <c r="G856" s="3"/>
      <c r="I856" s="490"/>
    </row>
    <row r="857" spans="1:9" ht="12.75" customHeight="1">
      <c r="A857" s="175"/>
      <c r="B857" s="175"/>
      <c r="C857" s="989"/>
      <c r="D857" s="1263"/>
      <c r="E857" s="1263"/>
      <c r="F857" s="1263"/>
      <c r="G857" s="3"/>
      <c r="I857" s="490"/>
    </row>
    <row r="858" spans="1:9" ht="12.75" customHeight="1">
      <c r="A858" s="175"/>
      <c r="B858" s="175"/>
      <c r="C858" s="989"/>
      <c r="D858" s="1263"/>
      <c r="E858" s="1263"/>
      <c r="F858" s="1263"/>
      <c r="G858" s="3"/>
      <c r="I858" s="490"/>
    </row>
    <row r="859" spans="1:9" ht="12.75" customHeight="1">
      <c r="A859" s="175"/>
      <c r="B859" s="175"/>
      <c r="C859" s="989"/>
      <c r="D859" s="1263"/>
      <c r="E859" s="1263"/>
      <c r="F859" s="1263"/>
      <c r="G859" s="3"/>
      <c r="I859" s="490"/>
    </row>
    <row r="860" spans="1:9" ht="12.75" customHeight="1">
      <c r="A860" s="175"/>
      <c r="B860" s="175"/>
      <c r="C860" s="989"/>
      <c r="D860" s="118"/>
      <c r="E860" s="3"/>
      <c r="F860" s="3"/>
      <c r="G860" s="3"/>
      <c r="I860" s="490"/>
    </row>
    <row r="861" spans="1:9" ht="12.75" customHeight="1">
      <c r="A861" s="175"/>
      <c r="B861" s="485" t="s">
        <v>2732</v>
      </c>
      <c r="C861" s="989"/>
      <c r="D861" s="1263" t="s">
        <v>1767</v>
      </c>
      <c r="E861" s="1263"/>
      <c r="F861" s="1263"/>
      <c r="G861" s="3"/>
      <c r="I861" s="490" t="s">
        <v>1880</v>
      </c>
    </row>
    <row r="862" spans="1:9" ht="12.75" customHeight="1">
      <c r="A862" s="175"/>
      <c r="B862" s="175"/>
      <c r="C862" s="989"/>
      <c r="D862" s="1263" t="s">
        <v>1768</v>
      </c>
      <c r="E862" s="1263"/>
      <c r="F862" s="1263"/>
      <c r="G862" s="3"/>
      <c r="I862" s="490"/>
    </row>
    <row r="863" spans="1:9" ht="12.75" customHeight="1">
      <c r="A863" s="175"/>
      <c r="B863" s="175"/>
      <c r="C863" s="989"/>
      <c r="E863" s="1036" t="s">
        <v>1897</v>
      </c>
      <c r="F863" s="1038"/>
      <c r="G863" s="3"/>
      <c r="I863" s="490"/>
    </row>
    <row r="864" spans="1:9" ht="12.75" customHeight="1">
      <c r="A864" s="175"/>
      <c r="B864" s="175"/>
      <c r="C864" s="989"/>
      <c r="D864" s="118"/>
      <c r="E864" s="3"/>
      <c r="F864" s="3"/>
      <c r="G864" s="3"/>
      <c r="I864" s="490"/>
    </row>
    <row r="865" spans="1:9" ht="12.75" customHeight="1">
      <c r="A865" s="175"/>
      <c r="B865" s="485" t="s">
        <v>2732</v>
      </c>
      <c r="C865" s="989"/>
      <c r="D865" s="1263" t="s">
        <v>1769</v>
      </c>
      <c r="E865" s="1263"/>
      <c r="F865" s="1263"/>
      <c r="G865" s="3"/>
      <c r="I865" s="490" t="s">
        <v>1883</v>
      </c>
    </row>
    <row r="866" spans="1:9" ht="12.75" customHeight="1">
      <c r="A866" s="175"/>
      <c r="B866" s="175"/>
      <c r="C866" s="989"/>
      <c r="D866" s="1263"/>
      <c r="E866" s="1263"/>
      <c r="F866" s="1263"/>
      <c r="G866" s="3"/>
      <c r="I866" s="490"/>
    </row>
    <row r="867" spans="1:9" ht="12.75" customHeight="1">
      <c r="A867" s="175"/>
      <c r="B867" s="175"/>
      <c r="C867" s="989"/>
      <c r="D867" s="1263"/>
      <c r="E867" s="1263"/>
      <c r="F867" s="1263"/>
      <c r="G867" s="3"/>
      <c r="I867" s="490"/>
    </row>
    <row r="868" spans="1:9" ht="12.75" customHeight="1">
      <c r="A868" s="175"/>
      <c r="B868" s="175"/>
      <c r="C868" s="989"/>
      <c r="D868" s="1263"/>
      <c r="E868" s="1263"/>
      <c r="F868" s="1263"/>
      <c r="G868" s="3"/>
      <c r="I868" s="490"/>
    </row>
    <row r="869" spans="1:9" ht="12.75" customHeight="1">
      <c r="A869" s="172"/>
      <c r="B869" s="172"/>
      <c r="C869" s="172"/>
      <c r="D869" s="118"/>
      <c r="E869" s="3"/>
      <c r="F869" s="3"/>
      <c r="G869" s="3"/>
      <c r="I869" s="490"/>
    </row>
    <row r="870" spans="1:9" ht="12.75" customHeight="1">
      <c r="A870" s="983" t="s">
        <v>1770</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296" t="s">
        <v>1803</v>
      </c>
      <c r="E872" s="1296"/>
      <c r="F872" s="1296"/>
      <c r="G872" s="988"/>
      <c r="I872" s="490"/>
    </row>
    <row r="873" spans="1:9" ht="12.75" customHeight="1">
      <c r="A873" s="354"/>
      <c r="B873" s="354"/>
      <c r="C873" s="174"/>
      <c r="D873" s="1305" t="s">
        <v>1771</v>
      </c>
      <c r="E873" s="1305"/>
      <c r="F873" s="1305"/>
      <c r="G873" s="988"/>
      <c r="I873" s="490"/>
    </row>
    <row r="874" spans="1:9" ht="12.75" customHeight="1">
      <c r="A874" s="354"/>
      <c r="B874" s="354"/>
      <c r="C874" s="174"/>
      <c r="D874" s="995"/>
      <c r="E874" s="995"/>
      <c r="F874" s="995"/>
      <c r="G874" s="988"/>
      <c r="I874" s="490"/>
    </row>
    <row r="875" spans="1:9" ht="12.75" customHeight="1">
      <c r="A875" s="175"/>
      <c r="B875" s="485" t="s">
        <v>2731</v>
      </c>
      <c r="C875" s="354"/>
      <c r="D875" s="1289" t="s">
        <v>1772</v>
      </c>
      <c r="E875" s="1289"/>
      <c r="F875" s="1289"/>
      <c r="G875" s="988"/>
      <c r="I875" s="490" t="s">
        <v>1880</v>
      </c>
    </row>
    <row r="876" spans="1:9" ht="12.75" customHeight="1">
      <c r="A876" s="354"/>
      <c r="B876" s="354"/>
      <c r="C876" s="354"/>
      <c r="D876" s="2" t="s">
        <v>1747</v>
      </c>
      <c r="E876" s="1036" t="s">
        <v>1897</v>
      </c>
      <c r="F876" s="1039"/>
      <c r="G876" s="988"/>
      <c r="I876" s="490"/>
    </row>
    <row r="877" spans="1:9" ht="12.75" customHeight="1">
      <c r="A877" s="354"/>
      <c r="B877" s="354"/>
      <c r="C877" s="354"/>
      <c r="D877" s="118"/>
      <c r="E877" s="988"/>
      <c r="F877" s="988"/>
      <c r="G877" s="988"/>
      <c r="I877" s="490"/>
    </row>
    <row r="878" spans="1:9" ht="12.75" customHeight="1">
      <c r="A878" s="175"/>
      <c r="B878" s="485" t="s">
        <v>2733</v>
      </c>
      <c r="C878" s="354"/>
      <c r="D878" s="1263" t="s">
        <v>1773</v>
      </c>
      <c r="E878" s="1312"/>
      <c r="F878" s="1312"/>
      <c r="G878" s="3"/>
      <c r="I878" s="490" t="s">
        <v>1883</v>
      </c>
    </row>
    <row r="879" spans="1:9" ht="12.75" customHeight="1">
      <c r="A879" s="354"/>
      <c r="B879" s="354"/>
      <c r="C879" s="354"/>
      <c r="D879" s="1312"/>
      <c r="E879" s="1312"/>
      <c r="F879" s="1312"/>
      <c r="G879" s="3"/>
      <c r="I879" s="490"/>
    </row>
    <row r="880" spans="1:9" ht="12.75" customHeight="1">
      <c r="A880" s="354"/>
      <c r="B880" s="354"/>
      <c r="C880" s="354"/>
      <c r="D880" s="118"/>
      <c r="E880" s="3"/>
      <c r="F880" s="3"/>
      <c r="G880" s="3"/>
      <c r="I880" s="490"/>
    </row>
    <row r="881" spans="1:9" ht="12.75" customHeight="1">
      <c r="A881" s="354"/>
      <c r="B881" s="485" t="s">
        <v>2732</v>
      </c>
      <c r="C881" s="354"/>
      <c r="D881" s="1313" t="s">
        <v>1774</v>
      </c>
      <c r="E881" s="1313"/>
      <c r="F881" s="1313"/>
      <c r="G881" s="988"/>
      <c r="I881" s="490"/>
    </row>
    <row r="882" spans="1:9" ht="12.75" customHeight="1">
      <c r="A882" s="354"/>
      <c r="B882" s="996"/>
      <c r="C882" s="354"/>
      <c r="D882" s="1313"/>
      <c r="E882" s="1313"/>
      <c r="F882" s="1313"/>
      <c r="G882" s="988"/>
      <c r="I882" s="490"/>
    </row>
    <row r="883" spans="1:9" ht="12.75" customHeight="1">
      <c r="A883" s="175"/>
      <c r="B883"/>
      <c r="C883" s="354"/>
      <c r="D883" s="1263" t="s">
        <v>2068</v>
      </c>
      <c r="E883" s="1263"/>
      <c r="F883" s="1263"/>
      <c r="G883" s="988"/>
      <c r="I883" s="490"/>
    </row>
    <row r="884" spans="1:9" ht="12.75" customHeight="1">
      <c r="A884" s="175"/>
      <c r="B884" s="175"/>
      <c r="C884" s="354"/>
      <c r="D884" s="1263"/>
      <c r="E884" s="1263"/>
      <c r="F884" s="1263"/>
      <c r="G884" s="988"/>
      <c r="I884" s="490"/>
    </row>
    <row r="885" spans="1:9" ht="12.75" customHeight="1">
      <c r="A885" s="175"/>
      <c r="B885" s="175"/>
      <c r="C885" s="354"/>
      <c r="D885" s="1263"/>
      <c r="E885" s="1263"/>
      <c r="F885" s="1263"/>
      <c r="G885" s="988"/>
      <c r="I885" s="490"/>
    </row>
    <row r="886" spans="1:9" ht="12.75" customHeight="1">
      <c r="A886" s="175"/>
      <c r="B886" s="175"/>
      <c r="C886" s="354"/>
      <c r="D886" s="1263"/>
      <c r="E886" s="1263"/>
      <c r="F886" s="1263"/>
      <c r="G886" s="988"/>
      <c r="I886" s="490"/>
    </row>
    <row r="887" spans="1:9" ht="12.75" customHeight="1">
      <c r="A887" s="175"/>
      <c r="B887" s="175"/>
      <c r="C887" s="354"/>
      <c r="D887" s="1263"/>
      <c r="E887" s="1263"/>
      <c r="F887" s="1263"/>
      <c r="G887" s="988"/>
      <c r="I887" s="490"/>
    </row>
    <row r="888" spans="1:9" ht="12.75" customHeight="1">
      <c r="A888" s="175"/>
      <c r="B888" s="175"/>
      <c r="C888" s="354"/>
      <c r="D888" s="1263"/>
      <c r="E888" s="1263"/>
      <c r="F888" s="1263"/>
      <c r="G888" s="988"/>
      <c r="I888" s="490"/>
    </row>
    <row r="889" spans="1:9" ht="12.75" customHeight="1">
      <c r="A889" s="175"/>
      <c r="B889" s="175"/>
      <c r="C889" s="354"/>
      <c r="D889" s="118"/>
      <c r="E889" s="988"/>
      <c r="F889" s="988"/>
      <c r="G889" s="988"/>
      <c r="I889" s="490"/>
    </row>
    <row r="890" spans="1:9" ht="12.75" customHeight="1">
      <c r="A890" s="175"/>
      <c r="B890" s="485" t="s">
        <v>2732</v>
      </c>
      <c r="C890" s="354"/>
      <c r="D890" s="1288" t="s">
        <v>1767</v>
      </c>
      <c r="E890" s="1288"/>
      <c r="F890" s="1288"/>
      <c r="G890" s="988"/>
      <c r="I890" s="490"/>
    </row>
    <row r="891" spans="1:9" ht="12.75" customHeight="1">
      <c r="A891" s="175"/>
      <c r="B891" s="175"/>
      <c r="C891" s="354"/>
      <c r="D891" s="1288" t="s">
        <v>1768</v>
      </c>
      <c r="E891" s="1288"/>
      <c r="F891" s="1288"/>
      <c r="G891" s="988"/>
      <c r="I891" s="490"/>
    </row>
    <row r="892" spans="1:9" ht="12.75" customHeight="1">
      <c r="A892" s="175"/>
      <c r="B892" s="175"/>
      <c r="C892" s="354"/>
      <c r="D892" s="2" t="s">
        <v>1269</v>
      </c>
      <c r="E892" s="1036" t="s">
        <v>1897</v>
      </c>
      <c r="F892" s="1040"/>
      <c r="G892" s="988"/>
      <c r="I892" s="490"/>
    </row>
    <row r="893" spans="1:9" ht="12.75" customHeight="1">
      <c r="A893" s="175"/>
      <c r="B893" s="175"/>
      <c r="C893" s="354"/>
      <c r="D893" s="118"/>
      <c r="E893" s="988"/>
      <c r="F893" s="988"/>
      <c r="G893" s="988"/>
      <c r="I893" s="490"/>
    </row>
    <row r="894" spans="1:9" ht="12.75" customHeight="1">
      <c r="A894" s="175"/>
      <c r="B894" s="485" t="s">
        <v>2732</v>
      </c>
      <c r="C894" s="354"/>
      <c r="D894" s="1263" t="s">
        <v>1769</v>
      </c>
      <c r="E894" s="1263"/>
      <c r="F894" s="1263"/>
      <c r="G894" s="988"/>
      <c r="I894" s="490"/>
    </row>
    <row r="895" spans="1:9" ht="12.75" customHeight="1">
      <c r="A895" s="175"/>
      <c r="B895" s="175"/>
      <c r="C895" s="354"/>
      <c r="D895" s="1263"/>
      <c r="E895" s="1263"/>
      <c r="F895" s="1263"/>
      <c r="G895" s="988"/>
      <c r="I895" s="490"/>
    </row>
    <row r="896" spans="1:9" ht="12.75" customHeight="1">
      <c r="A896" s="175"/>
      <c r="B896" s="175"/>
      <c r="C896" s="354"/>
      <c r="D896" s="1263"/>
      <c r="E896" s="1263"/>
      <c r="F896" s="1263"/>
      <c r="G896" s="988"/>
      <c r="I896" s="490"/>
    </row>
    <row r="897" spans="1:9" ht="12.75" customHeight="1">
      <c r="A897" s="175"/>
      <c r="B897" s="175"/>
      <c r="C897" s="354"/>
      <c r="D897" s="1263"/>
      <c r="E897" s="1263"/>
      <c r="F897" s="1263"/>
      <c r="G897" s="988"/>
      <c r="I897" s="490"/>
    </row>
    <row r="898" spans="1:9" ht="12.75" customHeight="1">
      <c r="A898" s="118"/>
      <c r="B898" s="118"/>
      <c r="C898" s="989"/>
      <c r="D898" s="988"/>
      <c r="E898" s="988"/>
      <c r="F898" s="988"/>
      <c r="G898" s="988"/>
      <c r="I898" s="490"/>
    </row>
    <row r="899" spans="1:9" ht="12.75" customHeight="1">
      <c r="A899" s="1286" t="s">
        <v>1804</v>
      </c>
      <c r="B899" s="1286"/>
      <c r="C899" s="1286"/>
      <c r="D899" s="1286"/>
      <c r="E899" s="1286"/>
      <c r="F899" s="1286"/>
      <c r="G899" s="1286"/>
      <c r="H899" s="1028"/>
      <c r="I899" s="1153"/>
    </row>
    <row r="900" spans="1:9" ht="12.75" customHeight="1">
      <c r="A900" s="57"/>
      <c r="B900" s="57"/>
      <c r="C900" s="57"/>
      <c r="D900" s="57"/>
      <c r="E900" s="57"/>
      <c r="F900" s="57"/>
      <c r="G900" s="57"/>
      <c r="I900" s="490"/>
    </row>
    <row r="901" spans="1:9" ht="12.75" customHeight="1">
      <c r="A901" s="57"/>
      <c r="B901" s="57"/>
      <c r="C901" s="57"/>
      <c r="D901" s="1284" t="s">
        <v>1810</v>
      </c>
      <c r="E901" s="1284"/>
      <c r="F901" s="1284"/>
      <c r="G901" s="57"/>
      <c r="I901" s="490"/>
    </row>
    <row r="902" spans="1:9" ht="12.75" customHeight="1">
      <c r="A902" s="57"/>
      <c r="B902" s="57"/>
      <c r="C902" s="57"/>
      <c r="D902" s="981"/>
      <c r="E902" s="981"/>
      <c r="F902" s="981"/>
      <c r="G902" s="57"/>
      <c r="I902" s="490"/>
    </row>
    <row r="903" spans="1:9" ht="12.75" customHeight="1">
      <c r="A903" s="57"/>
      <c r="B903" s="485" t="s">
        <v>2731</v>
      </c>
      <c r="C903" s="57"/>
      <c r="D903" s="984" t="s">
        <v>1811</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284" t="s">
        <v>1805</v>
      </c>
      <c r="E905" s="1284"/>
      <c r="F905" s="1284"/>
      <c r="G905" s="988"/>
      <c r="I905" s="490"/>
    </row>
    <row r="906" spans="1:9" ht="12.75" customHeight="1">
      <c r="A906" s="172"/>
      <c r="B906" s="172"/>
      <c r="C906" s="172"/>
      <c r="D906" s="1289" t="s">
        <v>1775</v>
      </c>
      <c r="E906" s="1289"/>
      <c r="F906" s="1289"/>
      <c r="G906" s="988"/>
      <c r="I906" s="490"/>
    </row>
    <row r="907" spans="1:9" ht="12.75" customHeight="1">
      <c r="A907" s="989"/>
      <c r="B907" s="989"/>
      <c r="C907" s="989"/>
      <c r="D907" s="2"/>
      <c r="E907" s="988"/>
      <c r="F907" s="988"/>
      <c r="G907" s="988"/>
      <c r="I907" s="490"/>
    </row>
    <row r="908" spans="1:9" ht="12.75" customHeight="1">
      <c r="A908" s="175"/>
      <c r="B908" s="485" t="s">
        <v>2731</v>
      </c>
      <c r="C908" s="354"/>
      <c r="D908" s="1263" t="s">
        <v>1779</v>
      </c>
      <c r="E908" s="1263"/>
      <c r="F908" s="1263"/>
      <c r="G908" s="3"/>
      <c r="I908" s="490"/>
    </row>
    <row r="909" spans="1:9" ht="12.75" customHeight="1">
      <c r="A909" s="354"/>
      <c r="B909" s="354"/>
      <c r="C909" s="354"/>
      <c r="D909" s="1263"/>
      <c r="E909" s="1263"/>
      <c r="F909" s="1263"/>
      <c r="G909" s="3"/>
      <c r="I909" s="490"/>
    </row>
    <row r="910" spans="1:9" ht="12.75" customHeight="1">
      <c r="A910" s="172"/>
      <c r="B910" s="172"/>
      <c r="C910" s="172"/>
      <c r="D910" s="1263" t="s">
        <v>1778</v>
      </c>
      <c r="E910" s="1263"/>
      <c r="F910" s="1263"/>
      <c r="G910" s="988"/>
      <c r="I910" s="490"/>
    </row>
    <row r="911" spans="1:9" ht="12.75" customHeight="1">
      <c r="A911" s="172"/>
      <c r="B911" s="172"/>
      <c r="C911" s="172"/>
      <c r="D911" s="1263"/>
      <c r="E911" s="1263"/>
      <c r="F911" s="1263"/>
      <c r="G911" s="988"/>
      <c r="I911" s="490"/>
    </row>
    <row r="912" spans="1:9" ht="12.75" customHeight="1">
      <c r="A912" s="172"/>
      <c r="B912" s="172"/>
      <c r="C912" s="172"/>
      <c r="D912" s="3"/>
      <c r="E912" s="3"/>
      <c r="F912" s="988"/>
      <c r="G912" s="988"/>
      <c r="I912" s="490"/>
    </row>
    <row r="913" spans="1:9" ht="12.75" customHeight="1">
      <c r="A913" s="175"/>
      <c r="B913" s="485" t="s">
        <v>2731</v>
      </c>
      <c r="C913" s="174"/>
      <c r="D913" s="1274" t="s">
        <v>1776</v>
      </c>
      <c r="E913" s="1274"/>
      <c r="F913" s="1274"/>
      <c r="G913" s="988"/>
      <c r="I913" s="490"/>
    </row>
    <row r="914" spans="1:9" ht="12.75" customHeight="1">
      <c r="A914" s="175"/>
      <c r="B914" s="175"/>
      <c r="C914" s="174"/>
      <c r="D914" s="1274"/>
      <c r="E914" s="1274"/>
      <c r="F914" s="1274"/>
      <c r="G914" s="988"/>
      <c r="I914" s="490"/>
    </row>
    <row r="915" spans="1:9" ht="12.75" customHeight="1">
      <c r="A915" s="175"/>
      <c r="B915" s="175"/>
      <c r="C915" s="174"/>
      <c r="D915" s="1274"/>
      <c r="E915" s="1274"/>
      <c r="F915" s="1274"/>
      <c r="G915" s="988"/>
      <c r="I915" s="490"/>
    </row>
    <row r="916" spans="1:9" ht="12.75" customHeight="1">
      <c r="A916" s="175"/>
      <c r="B916" s="175"/>
      <c r="C916" s="174"/>
      <c r="D916" s="1274"/>
      <c r="E916" s="1274"/>
      <c r="F916" s="1274"/>
      <c r="G916" s="988"/>
      <c r="I916" s="490"/>
    </row>
    <row r="917" spans="1:9" ht="12.75" customHeight="1">
      <c r="A917" s="175"/>
      <c r="B917" s="175"/>
      <c r="C917" s="174"/>
      <c r="D917" s="1274"/>
      <c r="E917" s="1274"/>
      <c r="F917" s="1274"/>
      <c r="G917" s="988"/>
      <c r="I917" s="490"/>
    </row>
    <row r="918" spans="1:9" ht="12.75" customHeight="1">
      <c r="A918" s="174"/>
      <c r="B918" s="174"/>
      <c r="C918" s="174"/>
      <c r="D918" s="1274"/>
      <c r="E918" s="1274"/>
      <c r="F918" s="1274"/>
      <c r="G918" s="988"/>
      <c r="I918" s="490"/>
    </row>
    <row r="919" spans="1:9" ht="12.75" customHeight="1">
      <c r="A919" s="174"/>
      <c r="B919" s="174"/>
      <c r="C919" s="174"/>
      <c r="D919" s="1274"/>
      <c r="E919" s="1274"/>
      <c r="F919" s="1274"/>
      <c r="G919" s="988"/>
      <c r="I919" s="490"/>
    </row>
    <row r="920" spans="1:9" ht="12.75" customHeight="1">
      <c r="A920" s="174"/>
      <c r="B920" s="174"/>
      <c r="C920" s="174"/>
      <c r="D920" s="1274"/>
      <c r="E920" s="1274"/>
      <c r="F920" s="1274"/>
      <c r="G920" s="988"/>
      <c r="I920" s="490"/>
    </row>
    <row r="921" spans="1:9" ht="12.75" customHeight="1">
      <c r="A921" s="174"/>
      <c r="B921" s="174"/>
      <c r="C921" s="174"/>
      <c r="D921" s="335"/>
      <c r="E921" s="335"/>
      <c r="F921" s="335"/>
      <c r="G921" s="988"/>
      <c r="I921" s="490"/>
    </row>
    <row r="922" spans="1:9" ht="12.75" customHeight="1">
      <c r="A922" s="989"/>
      <c r="B922" s="485" t="s">
        <v>2732</v>
      </c>
      <c r="C922" s="989"/>
      <c r="D922" s="1263" t="s">
        <v>1780</v>
      </c>
      <c r="E922" s="1263"/>
      <c r="F922" s="1263"/>
      <c r="G922" s="988"/>
      <c r="I922" s="490"/>
    </row>
    <row r="923" spans="1:9" ht="12.75" customHeight="1">
      <c r="A923" s="989"/>
      <c r="B923" s="989"/>
      <c r="C923" s="989"/>
      <c r="D923" s="1263"/>
      <c r="E923" s="1263"/>
      <c r="F923" s="1263"/>
      <c r="G923" s="988"/>
      <c r="I923" s="490"/>
    </row>
    <row r="924" spans="1:9" ht="12.75" customHeight="1">
      <c r="A924" s="989"/>
      <c r="B924" s="989"/>
      <c r="C924" s="989"/>
      <c r="D924" s="988"/>
      <c r="E924" s="988"/>
      <c r="F924" s="988"/>
      <c r="G924" s="988"/>
      <c r="I924" s="490"/>
    </row>
    <row r="925" spans="1:9" ht="12.75" customHeight="1">
      <c r="A925" s="989"/>
      <c r="B925" s="485" t="s">
        <v>2732</v>
      </c>
      <c r="C925" s="989"/>
      <c r="D925" s="1290" t="s">
        <v>1781</v>
      </c>
      <c r="E925" s="1290"/>
      <c r="F925" s="1290"/>
      <c r="G925" s="988"/>
      <c r="I925" s="490"/>
    </row>
    <row r="926" spans="1:9" ht="12.75" customHeight="1">
      <c r="A926" s="989"/>
      <c r="B926" s="989"/>
      <c r="C926" s="989"/>
      <c r="D926" s="1290"/>
      <c r="E926" s="1290"/>
      <c r="F926" s="1290"/>
      <c r="G926" s="988"/>
      <c r="I926" s="490"/>
    </row>
    <row r="927" spans="1:9" ht="12.75" customHeight="1">
      <c r="A927" s="989"/>
      <c r="B927" s="989"/>
      <c r="C927" s="989"/>
      <c r="D927" s="1290"/>
      <c r="E927" s="1290"/>
      <c r="F927" s="1290"/>
      <c r="G927" s="988"/>
      <c r="I927" s="490"/>
    </row>
    <row r="928" spans="1:9" ht="12.75" customHeight="1">
      <c r="A928" s="989"/>
      <c r="B928" s="989"/>
      <c r="C928" s="989"/>
      <c r="D928" s="1290"/>
      <c r="E928" s="1290"/>
      <c r="F928" s="1290"/>
      <c r="G928" s="988"/>
      <c r="I928" s="490"/>
    </row>
    <row r="929" spans="1:9" ht="12.75" customHeight="1">
      <c r="A929" s="989"/>
      <c r="B929" s="989"/>
      <c r="C929" s="989"/>
      <c r="D929" s="118"/>
      <c r="E929" s="988"/>
      <c r="F929" s="988"/>
      <c r="G929" s="988"/>
      <c r="I929" s="490"/>
    </row>
    <row r="930" spans="1:9" ht="12.75" customHeight="1">
      <c r="A930" s="989"/>
      <c r="B930" s="485" t="s">
        <v>2732</v>
      </c>
      <c r="C930" s="989"/>
      <c r="D930" s="1289" t="s">
        <v>2069</v>
      </c>
      <c r="E930" s="1289"/>
      <c r="F930" s="1289"/>
      <c r="G930" s="988"/>
      <c r="I930" s="490"/>
    </row>
    <row r="931" spans="1:9" ht="12.75" customHeight="1">
      <c r="A931" s="989"/>
      <c r="B931" s="989"/>
      <c r="C931" s="989"/>
      <c r="D931" s="118"/>
      <c r="E931" s="988"/>
      <c r="F931" s="988"/>
      <c r="G931" s="988"/>
      <c r="I931" s="490"/>
    </row>
    <row r="932" spans="1:9" ht="12.75" customHeight="1">
      <c r="A932" s="989"/>
      <c r="B932" s="485" t="s">
        <v>2732</v>
      </c>
      <c r="C932" s="989"/>
      <c r="D932" s="1289" t="s">
        <v>2070</v>
      </c>
      <c r="E932" s="1289"/>
      <c r="F932" s="1289"/>
      <c r="G932" s="988"/>
      <c r="I932" s="490"/>
    </row>
    <row r="933" spans="1:9" ht="12.75" customHeight="1">
      <c r="A933" s="174"/>
      <c r="B933" s="174"/>
      <c r="C933" s="174"/>
      <c r="D933" s="2"/>
      <c r="E933" s="3"/>
      <c r="F933" s="988"/>
      <c r="G933" s="988"/>
      <c r="I933" s="490"/>
    </row>
    <row r="934" spans="1:9" ht="12.75" customHeight="1">
      <c r="A934" s="997"/>
      <c r="B934" s="485" t="s">
        <v>2732</v>
      </c>
      <c r="C934" s="998"/>
      <c r="D934" s="1274" t="s">
        <v>1777</v>
      </c>
      <c r="E934" s="1274"/>
      <c r="F934" s="1274"/>
      <c r="G934" s="999"/>
      <c r="I934" s="490"/>
    </row>
    <row r="935" spans="1:9" ht="12.75" customHeight="1">
      <c r="A935" s="997"/>
      <c r="B935" s="997"/>
      <c r="C935" s="998"/>
      <c r="D935" s="1274"/>
      <c r="E935" s="1274"/>
      <c r="F935" s="1274"/>
      <c r="G935" s="999"/>
      <c r="I935" s="490"/>
    </row>
    <row r="936" spans="1:9" ht="12.75" customHeight="1">
      <c r="A936" s="997"/>
      <c r="B936" s="997"/>
      <c r="C936" s="998"/>
      <c r="D936" s="1274"/>
      <c r="E936" s="1274"/>
      <c r="F936" s="1274"/>
      <c r="G936" s="999"/>
      <c r="I936" s="490"/>
    </row>
    <row r="937" spans="1:9" ht="12.75" customHeight="1">
      <c r="A937" s="997"/>
      <c r="B937" s="997"/>
      <c r="C937" s="998"/>
      <c r="D937" s="1274"/>
      <c r="E937" s="1274"/>
      <c r="F937" s="1274"/>
      <c r="G937" s="999"/>
      <c r="I937" s="490"/>
    </row>
    <row r="938" spans="1:9" ht="12.75" customHeight="1">
      <c r="A938" s="997"/>
      <c r="B938" s="997"/>
      <c r="C938" s="998"/>
      <c r="D938" s="1274"/>
      <c r="E938" s="1274"/>
      <c r="F938" s="1274"/>
      <c r="G938" s="999"/>
      <c r="I938" s="490"/>
    </row>
    <row r="939" spans="1:9" ht="12.75" customHeight="1">
      <c r="A939" s="997"/>
      <c r="B939" s="997"/>
      <c r="C939" s="998"/>
      <c r="D939" s="1274"/>
      <c r="E939" s="1274"/>
      <c r="F939" s="1274"/>
      <c r="G939" s="999"/>
      <c r="I939" s="490"/>
    </row>
    <row r="940" spans="1:9" ht="12.75" customHeight="1">
      <c r="A940" s="997"/>
      <c r="B940" s="997"/>
      <c r="C940" s="998"/>
      <c r="D940" s="1274"/>
      <c r="E940" s="1274"/>
      <c r="F940" s="1274"/>
      <c r="G940" s="999"/>
      <c r="I940" s="490"/>
    </row>
    <row r="941" spans="1:9" ht="12.75" customHeight="1">
      <c r="A941" s="997"/>
      <c r="B941" s="997"/>
      <c r="C941" s="998"/>
      <c r="D941" s="1274"/>
      <c r="E941" s="1274"/>
      <c r="F941" s="1274"/>
      <c r="G941" s="999"/>
      <c r="I941" s="490"/>
    </row>
    <row r="942" spans="1:9" ht="12.75" customHeight="1">
      <c r="A942" s="997"/>
      <c r="B942" s="997"/>
      <c r="C942" s="998"/>
      <c r="D942" s="1274"/>
      <c r="E942" s="1274"/>
      <c r="F942" s="1274"/>
      <c r="G942" s="999"/>
      <c r="I942" s="490"/>
    </row>
    <row r="943" spans="1:9" ht="12.75" customHeight="1">
      <c r="A943" s="174"/>
      <c r="B943" s="174"/>
      <c r="C943" s="174"/>
      <c r="D943" s="2"/>
      <c r="E943" s="3"/>
      <c r="F943" s="988"/>
      <c r="G943" s="988"/>
      <c r="I943" s="490"/>
    </row>
    <row r="944" spans="1:9" ht="12.75" customHeight="1">
      <c r="A944" s="175"/>
      <c r="B944" s="485" t="s">
        <v>2731</v>
      </c>
      <c r="C944" s="174"/>
      <c r="D944" s="1298" t="s">
        <v>1886</v>
      </c>
      <c r="E944" s="1298"/>
      <c r="F944" s="1298"/>
      <c r="G944" s="988"/>
      <c r="I944" s="490"/>
    </row>
    <row r="945" spans="1:9" ht="12.75" customHeight="1">
      <c r="A945" s="175"/>
      <c r="B945" s="175"/>
      <c r="C945" s="174"/>
      <c r="D945" s="1298"/>
      <c r="E945" s="1298"/>
      <c r="F945" s="1298"/>
      <c r="G945" s="988"/>
      <c r="I945" s="490"/>
    </row>
    <row r="946" spans="1:9" ht="12.75" customHeight="1">
      <c r="A946" s="175"/>
      <c r="B946" s="175"/>
      <c r="C946" s="174"/>
      <c r="D946" s="1298"/>
      <c r="E946" s="1298"/>
      <c r="F946" s="1298"/>
      <c r="G946" s="988"/>
      <c r="I946" s="490"/>
    </row>
    <row r="947" spans="1:9" ht="12.75" customHeight="1">
      <c r="A947" s="175"/>
      <c r="B947" s="175"/>
      <c r="C947" s="174"/>
      <c r="D947" s="1298"/>
      <c r="E947" s="1298"/>
      <c r="F947" s="1298"/>
      <c r="G947" s="988"/>
      <c r="I947" s="490"/>
    </row>
    <row r="948" spans="1:9" ht="12.75" customHeight="1">
      <c r="A948" s="175"/>
      <c r="B948" s="175"/>
      <c r="C948" s="174"/>
      <c r="D948" s="1298"/>
      <c r="E948" s="1298"/>
      <c r="F948" s="1298"/>
      <c r="G948" s="988"/>
      <c r="I948" s="490"/>
    </row>
    <row r="949" spans="1:9" ht="12.75" customHeight="1">
      <c r="A949" s="175"/>
      <c r="B949" s="175"/>
      <c r="C949" s="174"/>
      <c r="D949" s="1298"/>
      <c r="E949" s="1298"/>
      <c r="F949" s="1298"/>
      <c r="G949" s="988"/>
      <c r="I949" s="490"/>
    </row>
    <row r="950" spans="1:9" ht="12.75" customHeight="1">
      <c r="A950" s="175"/>
      <c r="B950" s="175"/>
      <c r="C950" s="174"/>
      <c r="D950" s="1298"/>
      <c r="E950" s="1298"/>
      <c r="F950" s="1298"/>
      <c r="G950" s="988"/>
      <c r="I950" s="490"/>
    </row>
    <row r="951" spans="1:9" ht="12.75" customHeight="1">
      <c r="A951" s="175"/>
      <c r="B951" s="175"/>
      <c r="C951" s="174"/>
      <c r="D951" s="1026"/>
      <c r="E951" s="1026"/>
      <c r="F951" s="1026"/>
      <c r="G951" s="988"/>
      <c r="I951" s="490"/>
    </row>
    <row r="952" spans="1:9" ht="12.75" customHeight="1">
      <c r="A952" s="175"/>
      <c r="B952" s="485" t="s">
        <v>2731</v>
      </c>
      <c r="C952" s="174"/>
      <c r="D952" s="1273" t="s">
        <v>2137</v>
      </c>
      <c r="E952" s="1273"/>
      <c r="F952" s="1273"/>
      <c r="G952" s="988"/>
      <c r="I952" s="490"/>
    </row>
    <row r="953" spans="1:9" ht="12.75" customHeight="1">
      <c r="A953" s="175"/>
      <c r="B953" s="175"/>
      <c r="C953" s="174"/>
      <c r="D953" s="1273"/>
      <c r="E953" s="1273"/>
      <c r="F953" s="1273"/>
      <c r="G953" s="988"/>
      <c r="I953" s="490"/>
    </row>
    <row r="954" spans="1:9" ht="12.75" customHeight="1">
      <c r="A954" s="175"/>
      <c r="B954" s="175"/>
      <c r="C954" s="174"/>
      <c r="D954" s="1273"/>
      <c r="E954" s="1273"/>
      <c r="F954" s="1273"/>
      <c r="G954" s="988"/>
      <c r="I954" s="490"/>
    </row>
    <row r="955" spans="1:9" ht="12.75" customHeight="1">
      <c r="A955" s="175"/>
      <c r="B955" s="175"/>
      <c r="C955" s="174"/>
      <c r="D955" s="1273"/>
      <c r="E955" s="1273"/>
      <c r="F955" s="1273"/>
      <c r="G955" s="988"/>
      <c r="I955" s="490"/>
    </row>
    <row r="956" spans="1:9" ht="12.75" customHeight="1">
      <c r="A956" s="175"/>
      <c r="B956" s="175"/>
      <c r="C956" s="174"/>
      <c r="D956" s="1273"/>
      <c r="E956" s="1273"/>
      <c r="F956" s="1273"/>
      <c r="G956" s="988"/>
      <c r="I956" s="490"/>
    </row>
    <row r="957" spans="1:9" ht="12.75" customHeight="1">
      <c r="A957" s="175"/>
      <c r="B957" s="175"/>
      <c r="C957" s="174"/>
      <c r="D957" s="1273"/>
      <c r="E957" s="1273"/>
      <c r="F957" s="1273"/>
      <c r="G957" s="988"/>
      <c r="I957" s="490"/>
    </row>
    <row r="958" spans="1:9" ht="12.75" customHeight="1">
      <c r="A958" s="175"/>
      <c r="B958" s="175"/>
      <c r="C958" s="174"/>
      <c r="D958" s="1026"/>
      <c r="E958" s="1026"/>
      <c r="F958" s="1026"/>
      <c r="G958" s="988"/>
      <c r="I958" s="490"/>
    </row>
    <row r="959" spans="1:9" ht="12.75" customHeight="1">
      <c r="A959" s="989"/>
      <c r="B959" s="485" t="s">
        <v>2732</v>
      </c>
      <c r="C959" s="989"/>
      <c r="D959" s="1290" t="s">
        <v>1782</v>
      </c>
      <c r="E959" s="1290"/>
      <c r="F959" s="1290"/>
      <c r="G959" s="988"/>
      <c r="I959" s="490"/>
    </row>
    <row r="960" spans="1:9" ht="12.75" customHeight="1">
      <c r="A960" s="989"/>
      <c r="B960" s="989"/>
      <c r="C960" s="989"/>
      <c r="D960" s="1290"/>
      <c r="E960" s="1290"/>
      <c r="F960" s="1290"/>
      <c r="G960" s="988"/>
      <c r="I960" s="490"/>
    </row>
    <row r="961" spans="1:9" ht="12.75" customHeight="1">
      <c r="A961" s="989"/>
      <c r="B961" s="989"/>
      <c r="C961" s="989"/>
      <c r="D961" s="1290"/>
      <c r="E961" s="1290"/>
      <c r="F961" s="1290"/>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2732</v>
      </c>
      <c r="C964" s="174"/>
      <c r="D964" s="1274" t="s">
        <v>1885</v>
      </c>
      <c r="E964" s="1274"/>
      <c r="F964" s="1274"/>
      <c r="G964" s="988"/>
      <c r="I964" s="490"/>
    </row>
    <row r="965" spans="1:9" ht="12.75" customHeight="1">
      <c r="A965" s="175"/>
      <c r="B965" s="175"/>
      <c r="C965" s="174"/>
      <c r="D965" s="1274"/>
      <c r="E965" s="1274"/>
      <c r="F965" s="1274"/>
      <c r="G965" s="988"/>
      <c r="I965" s="490"/>
    </row>
    <row r="966" spans="1:9" ht="12.75" customHeight="1">
      <c r="A966" s="175"/>
      <c r="B966" s="175"/>
      <c r="C966" s="174"/>
      <c r="D966" s="1274"/>
      <c r="E966" s="1274"/>
      <c r="F966" s="1274"/>
      <c r="G966" s="988"/>
      <c r="I966" s="490"/>
    </row>
    <row r="967" spans="1:9" ht="12.75" customHeight="1">
      <c r="A967" s="175"/>
      <c r="B967" s="175"/>
      <c r="C967" s="174"/>
      <c r="D967" s="1274"/>
      <c r="E967" s="1274"/>
      <c r="F967" s="1274"/>
      <c r="G967" s="988"/>
      <c r="I967" s="490"/>
    </row>
    <row r="968" spans="1:9" ht="12.75" customHeight="1">
      <c r="A968" s="989"/>
      <c r="B968" s="989"/>
      <c r="C968" s="989"/>
      <c r="D968" s="980"/>
      <c r="E968" s="980"/>
      <c r="F968" s="980"/>
      <c r="G968" s="980"/>
      <c r="I968" s="490"/>
    </row>
    <row r="969" spans="1:9" ht="12.75" customHeight="1">
      <c r="A969" s="354"/>
      <c r="B969" s="354"/>
      <c r="C969" s="354"/>
      <c r="D969" s="1296" t="s">
        <v>1783</v>
      </c>
      <c r="E969" s="1296"/>
      <c r="F969" s="1296"/>
      <c r="G969" s="3"/>
      <c r="I969" s="490"/>
    </row>
    <row r="970" spans="1:9" ht="12.75" customHeight="1">
      <c r="A970" s="175"/>
      <c r="B970" s="485" t="s">
        <v>2732</v>
      </c>
      <c r="C970" s="354"/>
      <c r="D970" s="1289" t="s">
        <v>1806</v>
      </c>
      <c r="E970" s="1289"/>
      <c r="F970" s="1289"/>
      <c r="G970" s="3"/>
      <c r="I970" s="490"/>
    </row>
    <row r="971" spans="1:9" ht="12.75" customHeight="1">
      <c r="A971" s="354"/>
      <c r="B971" s="354"/>
      <c r="C971" s="354"/>
      <c r="D971" s="3"/>
      <c r="E971" s="3"/>
      <c r="F971" s="3"/>
      <c r="G971" s="3"/>
      <c r="I971" s="490"/>
    </row>
    <row r="972" spans="1:9" ht="12.75" customHeight="1">
      <c r="A972" s="354"/>
      <c r="B972" s="354"/>
      <c r="C972" s="354"/>
      <c r="D972" s="1296" t="s">
        <v>1784</v>
      </c>
      <c r="E972" s="1296"/>
      <c r="F972" s="1296"/>
      <c r="G972"/>
      <c r="I972" s="490"/>
    </row>
    <row r="973" spans="1:9" ht="12.75" customHeight="1">
      <c r="A973" s="175"/>
      <c r="B973" s="485" t="s">
        <v>2732</v>
      </c>
      <c r="C973" s="354"/>
      <c r="D973" s="1263" t="s">
        <v>2071</v>
      </c>
      <c r="E973" s="1263"/>
      <c r="F973" s="1263"/>
      <c r="G973"/>
      <c r="I973" s="490"/>
    </row>
    <row r="974" spans="1:9" ht="12.75" customHeight="1">
      <c r="A974" s="175"/>
      <c r="B974" s="175"/>
      <c r="C974" s="354"/>
      <c r="D974" s="1263"/>
      <c r="E974" s="1263"/>
      <c r="F974" s="1263"/>
      <c r="G974"/>
      <c r="I974" s="490"/>
    </row>
    <row r="975" spans="1:9" ht="12.75" customHeight="1">
      <c r="A975" s="175"/>
      <c r="B975" s="175"/>
      <c r="C975" s="354"/>
      <c r="D975" s="1263"/>
      <c r="E975" s="1263"/>
      <c r="F975" s="1263"/>
      <c r="G975"/>
      <c r="I975" s="490"/>
    </row>
    <row r="976" spans="1:9" ht="12.75" customHeight="1">
      <c r="A976" s="175"/>
      <c r="B976" s="175"/>
      <c r="C976" s="354"/>
      <c r="D976" s="1263"/>
      <c r="E976" s="1263"/>
      <c r="F976" s="1263"/>
      <c r="G976"/>
      <c r="I976" s="490"/>
    </row>
    <row r="977" spans="1:9" ht="12.75" customHeight="1">
      <c r="A977" s="175"/>
      <c r="B977" s="175"/>
      <c r="C977" s="354"/>
      <c r="D977" s="1263"/>
      <c r="E977" s="1263"/>
      <c r="F977" s="1263"/>
      <c r="G977"/>
      <c r="I977" s="490"/>
    </row>
    <row r="978" spans="1:9" ht="12.75" customHeight="1">
      <c r="A978" s="175"/>
      <c r="B978" s="175"/>
      <c r="C978" s="354"/>
      <c r="D978" s="1263"/>
      <c r="E978" s="1263"/>
      <c r="F978" s="1263"/>
      <c r="G978"/>
      <c r="I978" s="490"/>
    </row>
    <row r="979" spans="1:9" ht="12.75" customHeight="1">
      <c r="A979" s="175"/>
      <c r="B979" s="175"/>
      <c r="C979" s="354"/>
      <c r="D979" s="1263"/>
      <c r="E979" s="1263"/>
      <c r="F979" s="1263"/>
      <c r="G979"/>
      <c r="I979" s="490"/>
    </row>
    <row r="980" spans="1:9" ht="12.75" customHeight="1">
      <c r="A980" s="175"/>
      <c r="B980" s="175"/>
      <c r="C980" s="354"/>
      <c r="D980" s="1263"/>
      <c r="E980" s="1263"/>
      <c r="F980" s="1263"/>
      <c r="G980"/>
      <c r="I980" s="490"/>
    </row>
    <row r="981" spans="1:9" ht="12.75" customHeight="1">
      <c r="A981" s="175"/>
      <c r="B981" s="175"/>
      <c r="C981" s="354"/>
      <c r="D981" s="1263"/>
      <c r="E981" s="1263"/>
      <c r="F981" s="1263"/>
      <c r="G981"/>
      <c r="I981" s="490"/>
    </row>
    <row r="982" spans="1:9" ht="12.75" customHeight="1">
      <c r="A982" s="175"/>
      <c r="B982" s="175"/>
      <c r="C982" s="354"/>
      <c r="D982" s="1263"/>
      <c r="E982" s="1263"/>
      <c r="F982" s="1263"/>
      <c r="G982"/>
      <c r="I982" s="490"/>
    </row>
    <row r="983" spans="1:9" ht="12.75" customHeight="1">
      <c r="A983" s="175"/>
      <c r="B983" s="175"/>
      <c r="C983" s="354"/>
      <c r="D983" s="1263"/>
      <c r="E983" s="1263"/>
      <c r="F983" s="1263"/>
      <c r="G983"/>
      <c r="I983" s="490"/>
    </row>
    <row r="984" spans="1:9" ht="12.75" customHeight="1">
      <c r="A984" s="175"/>
      <c r="B984" s="175"/>
      <c r="C984" s="354"/>
      <c r="D984" s="1263"/>
      <c r="E984" s="1263"/>
      <c r="F984" s="1263"/>
      <c r="G984"/>
      <c r="I984" s="490"/>
    </row>
    <row r="985" spans="1:9" ht="12.75" customHeight="1">
      <c r="A985" s="175"/>
      <c r="B985" s="175"/>
      <c r="C985" s="354"/>
      <c r="D985" s="1263"/>
      <c r="E985" s="1263"/>
      <c r="F985" s="1263"/>
      <c r="G985"/>
      <c r="I985" s="490"/>
    </row>
    <row r="986" spans="1:9" ht="12.75" customHeight="1">
      <c r="A986" s="175"/>
      <c r="B986" s="175"/>
      <c r="C986" s="354"/>
      <c r="D986" s="1263"/>
      <c r="E986" s="1263"/>
      <c r="F986" s="1263"/>
      <c r="G986"/>
      <c r="I986" s="490"/>
    </row>
    <row r="987" spans="1:9" ht="12.75" customHeight="1">
      <c r="A987" s="175"/>
      <c r="B987" s="175"/>
      <c r="C987" s="354"/>
      <c r="D987" s="1263"/>
      <c r="E987" s="1263"/>
      <c r="F987" s="1263"/>
      <c r="G987" s="3"/>
      <c r="I987" s="490"/>
    </row>
    <row r="988" spans="1:9" ht="12.75" customHeight="1">
      <c r="A988" s="354"/>
      <c r="B988" s="354"/>
      <c r="C988" s="354"/>
      <c r="D988" s="3"/>
      <c r="E988" s="3"/>
      <c r="F988" s="3"/>
      <c r="G988" s="3"/>
      <c r="I988" s="490"/>
    </row>
    <row r="989" spans="1:9" ht="12.75" customHeight="1">
      <c r="A989" s="1286" t="s">
        <v>1785</v>
      </c>
      <c r="B989" s="1286"/>
      <c r="C989" s="1286"/>
      <c r="D989" s="1286"/>
      <c r="E989" s="1286"/>
      <c r="F989" s="1286"/>
      <c r="G989" s="1286"/>
      <c r="H989" s="1028"/>
      <c r="I989" s="1153"/>
    </row>
    <row r="990" spans="1:9" ht="12.75" customHeight="1">
      <c r="A990" s="118"/>
      <c r="B990" s="118"/>
      <c r="C990" s="354"/>
      <c r="D990" s="3"/>
      <c r="E990" s="3"/>
      <c r="F990" s="3"/>
      <c r="G990" s="3"/>
      <c r="I990" s="490"/>
    </row>
    <row r="991" spans="1:9" ht="12.75" customHeight="1">
      <c r="A991" s="354"/>
      <c r="B991" s="354"/>
      <c r="C991" s="989"/>
      <c r="D991" s="1296" t="s">
        <v>1807</v>
      </c>
      <c r="E991" s="1296"/>
      <c r="F991" s="1296"/>
      <c r="G991" s="3"/>
      <c r="I991" s="490"/>
    </row>
    <row r="992" spans="1:9" ht="12.75" customHeight="1">
      <c r="A992" s="172"/>
      <c r="B992" s="172"/>
      <c r="C992" s="172"/>
      <c r="D992" s="1289" t="s">
        <v>1786</v>
      </c>
      <c r="E992" s="1289"/>
      <c r="F992" s="1289"/>
      <c r="G992" s="3"/>
      <c r="I992" s="490"/>
    </row>
    <row r="993" spans="1:9" ht="12.75" customHeight="1">
      <c r="A993" s="172"/>
      <c r="B993" s="172"/>
      <c r="C993" s="172"/>
      <c r="D993" s="3"/>
      <c r="E993" s="3"/>
      <c r="F993" s="988"/>
      <c r="G993"/>
      <c r="I993" s="490"/>
    </row>
    <row r="994" spans="1:9" ht="12.75" customHeight="1">
      <c r="A994" s="354"/>
      <c r="B994" s="485" t="s">
        <v>2731</v>
      </c>
      <c r="C994" s="354"/>
      <c r="D994" s="1297" t="s">
        <v>1915</v>
      </c>
      <c r="E994" s="1297"/>
      <c r="F994" s="1297"/>
      <c r="G994"/>
      <c r="I994" s="490"/>
    </row>
    <row r="995" spans="1:9" ht="12.75" customHeight="1">
      <c r="A995" s="354"/>
      <c r="B995" s="354"/>
      <c r="C995" s="354"/>
      <c r="D995" s="1297"/>
      <c r="E995" s="1297"/>
      <c r="F995" s="1297"/>
      <c r="G995"/>
      <c r="I995" s="490"/>
    </row>
    <row r="996" spans="1:9" ht="12.75" customHeight="1">
      <c r="A996" s="354"/>
      <c r="B996" s="354"/>
      <c r="C996" s="354"/>
      <c r="D996" s="1038"/>
      <c r="E996" s="1036" t="s">
        <v>1916</v>
      </c>
      <c r="F996" s="1038"/>
      <c r="G996"/>
      <c r="I996" s="490"/>
    </row>
    <row r="997" spans="1:9" ht="12.75" customHeight="1">
      <c r="A997" s="354"/>
      <c r="B997" s="354"/>
      <c r="C997" s="354"/>
      <c r="D997" s="1268" t="s">
        <v>1914</v>
      </c>
      <c r="E997" s="1268"/>
      <c r="F997" s="1268"/>
      <c r="G997"/>
      <c r="I997" s="490"/>
    </row>
    <row r="998" spans="1:9" ht="12.75" customHeight="1">
      <c r="A998" s="354"/>
      <c r="B998" s="354"/>
      <c r="C998" s="354"/>
      <c r="D998" s="1268"/>
      <c r="E998" s="1268"/>
      <c r="F998" s="1268"/>
      <c r="G998"/>
      <c r="I998" s="490"/>
    </row>
    <row r="999" spans="1:9" ht="12.75" customHeight="1">
      <c r="A999" s="174"/>
      <c r="B999" s="174"/>
      <c r="C999" s="174"/>
      <c r="D999" s="1268"/>
      <c r="E999" s="1268"/>
      <c r="F999" s="1268"/>
      <c r="G999"/>
      <c r="I999" s="490"/>
    </row>
    <row r="1000" spans="1:9" ht="12.75" customHeight="1">
      <c r="A1000" s="174"/>
      <c r="B1000" s="174"/>
      <c r="C1000" s="174"/>
      <c r="D1000" s="1268"/>
      <c r="E1000" s="1268"/>
      <c r="F1000" s="1268"/>
      <c r="G1000"/>
      <c r="I1000" s="490"/>
    </row>
    <row r="1001" spans="1:9" ht="12.75" customHeight="1">
      <c r="A1001" s="174"/>
      <c r="B1001" s="174"/>
      <c r="C1001" s="174"/>
      <c r="D1001" s="335"/>
      <c r="E1001" s="335"/>
      <c r="F1001" s="335"/>
      <c r="G1001"/>
      <c r="I1001" s="490"/>
    </row>
    <row r="1002" spans="1:9" ht="12.75" customHeight="1">
      <c r="A1002" s="174"/>
      <c r="B1002" s="485" t="s">
        <v>2732</v>
      </c>
      <c r="C1002" s="174"/>
      <c r="D1002" s="1263" t="s">
        <v>1787</v>
      </c>
      <c r="E1002" s="1263"/>
      <c r="F1002" s="1263"/>
      <c r="G1002"/>
      <c r="I1002" s="490"/>
    </row>
    <row r="1003" spans="1:9" ht="12.75" customHeight="1">
      <c r="A1003" s="174"/>
      <c r="B1003" s="174"/>
      <c r="C1003" s="174"/>
      <c r="D1003" s="1263"/>
      <c r="E1003" s="1263"/>
      <c r="F1003" s="1263"/>
      <c r="G1003"/>
      <c r="I1003" s="490"/>
    </row>
    <row r="1004" spans="1:9" ht="12.75" customHeight="1">
      <c r="A1004" s="174"/>
      <c r="B1004" s="174"/>
      <c r="C1004" s="174"/>
      <c r="D1004" s="1263"/>
      <c r="E1004" s="1263"/>
      <c r="F1004" s="1263"/>
      <c r="G1004"/>
      <c r="I1004" s="490"/>
    </row>
    <row r="1005" spans="1:9" ht="12.75" customHeight="1">
      <c r="A1005" s="174"/>
      <c r="B1005" s="174"/>
      <c r="C1005" s="174"/>
      <c r="D1005" s="1263"/>
      <c r="E1005" s="1263"/>
      <c r="F1005" s="1263"/>
      <c r="G1005"/>
      <c r="I1005" s="490"/>
    </row>
    <row r="1006" spans="1:9" ht="12.75" customHeight="1">
      <c r="A1006" s="174"/>
      <c r="B1006" s="174"/>
      <c r="C1006" s="174"/>
      <c r="D1006" s="441"/>
      <c r="E1006" s="441"/>
      <c r="F1006" s="441"/>
      <c r="G1006"/>
      <c r="I1006" s="490"/>
    </row>
    <row r="1007" spans="1:9" ht="12.75" customHeight="1">
      <c r="A1007" s="174"/>
      <c r="B1007" s="485" t="s">
        <v>2732</v>
      </c>
      <c r="C1007" s="174"/>
      <c r="D1007" s="1263" t="s">
        <v>2229</v>
      </c>
      <c r="E1007" s="1263"/>
      <c r="F1007" s="1263"/>
      <c r="G1007"/>
      <c r="I1007" s="490"/>
    </row>
    <row r="1008" spans="1:9" ht="12.75" customHeight="1">
      <c r="A1008" s="174"/>
      <c r="B1008" s="174"/>
      <c r="C1008" s="174"/>
      <c r="D1008" s="1263"/>
      <c r="E1008" s="1263"/>
      <c r="F1008" s="1263"/>
      <c r="G1008"/>
      <c r="I1008" s="490"/>
    </row>
    <row r="1009" spans="1:9" ht="12.75" customHeight="1">
      <c r="A1009" s="174"/>
      <c r="B1009" s="174"/>
      <c r="C1009" s="174"/>
      <c r="D1009" s="441"/>
      <c r="E1009" s="441"/>
      <c r="F1009" s="441"/>
      <c r="G1009"/>
      <c r="I1009" s="490"/>
    </row>
    <row r="1010" spans="1:9" ht="12.75" customHeight="1">
      <c r="A1010" s="175"/>
      <c r="B1010" s="485" t="s">
        <v>2732</v>
      </c>
      <c r="C1010" s="354"/>
      <c r="D1010" s="1289" t="s">
        <v>1788</v>
      </c>
      <c r="E1010" s="1289"/>
      <c r="F1010" s="1289"/>
      <c r="G1010"/>
      <c r="I1010" s="490"/>
    </row>
    <row r="1011" spans="1:9" ht="12.75" customHeight="1">
      <c r="A1011" s="354"/>
      <c r="B1011" s="354"/>
      <c r="C1011" s="354"/>
      <c r="D1011" s="3"/>
      <c r="E1011" s="3"/>
      <c r="F1011" s="3"/>
      <c r="G1011"/>
      <c r="I1011" s="490"/>
    </row>
    <row r="1012" spans="1:9" ht="12.75" customHeight="1">
      <c r="A1012" s="175"/>
      <c r="B1012" s="485" t="s">
        <v>2732</v>
      </c>
      <c r="C1012" s="354"/>
      <c r="D1012" s="1289" t="s">
        <v>1789</v>
      </c>
      <c r="E1012" s="1289"/>
      <c r="F1012" s="1289"/>
      <c r="G1012"/>
      <c r="I1012" s="490"/>
    </row>
    <row r="1013" spans="1:9" ht="12.75" customHeight="1">
      <c r="A1013" s="354"/>
      <c r="B1013" s="354"/>
      <c r="C1013" s="354"/>
      <c r="D1013" s="118"/>
      <c r="E1013" s="3"/>
      <c r="F1013" s="3"/>
      <c r="G1013"/>
      <c r="I1013" s="490"/>
    </row>
    <row r="1014" spans="1:9" ht="12.75" customHeight="1">
      <c r="A1014" s="175"/>
      <c r="B1014" s="485" t="s">
        <v>2731</v>
      </c>
      <c r="C1014" s="354"/>
      <c r="D1014" s="1289" t="s">
        <v>1790</v>
      </c>
      <c r="E1014" s="1289"/>
      <c r="F1014" s="1289"/>
      <c r="G1014"/>
      <c r="I1014" s="490"/>
    </row>
    <row r="1015" spans="1:9" ht="12.75" customHeight="1">
      <c r="A1015" s="354"/>
      <c r="B1015" s="354"/>
      <c r="C1015" s="354"/>
      <c r="D1015" s="118"/>
      <c r="E1015" s="3"/>
      <c r="F1015" s="3"/>
      <c r="G1015"/>
      <c r="I1015" s="490"/>
    </row>
    <row r="1016" spans="1:9" ht="12.75" customHeight="1">
      <c r="A1016" s="175"/>
      <c r="B1016" s="485" t="s">
        <v>2731</v>
      </c>
      <c r="C1016" s="354"/>
      <c r="D1016" s="1263" t="s">
        <v>1791</v>
      </c>
      <c r="E1016" s="1263"/>
      <c r="F1016" s="1263"/>
      <c r="G1016"/>
      <c r="I1016" s="490"/>
    </row>
    <row r="1017" spans="1:9" ht="12.75" customHeight="1">
      <c r="A1017" s="175"/>
      <c r="B1017" s="175"/>
      <c r="C1017" s="354"/>
      <c r="D1017" s="1263"/>
      <c r="E1017" s="1263"/>
      <c r="F1017" s="1263"/>
      <c r="G1017"/>
      <c r="I1017" s="490"/>
    </row>
    <row r="1018" spans="1:9" ht="12.75" customHeight="1">
      <c r="A1018" s="175"/>
      <c r="B1018" s="175"/>
      <c r="C1018" s="354"/>
      <c r="D1018" s="118"/>
      <c r="E1018" s="3"/>
      <c r="F1018" s="3"/>
      <c r="G1018" s="3"/>
      <c r="I1018" s="490"/>
    </row>
    <row r="1019" spans="1:9" ht="12.75" customHeight="1">
      <c r="A1019" s="254"/>
      <c r="B1019" s="485" t="s">
        <v>2732</v>
      </c>
      <c r="C1019" s="1000"/>
      <c r="D1019" s="1295" t="s">
        <v>1792</v>
      </c>
      <c r="E1019" s="1295"/>
      <c r="F1019" s="1295"/>
      <c r="G1019" s="1001"/>
      <c r="I1019" s="490"/>
    </row>
    <row r="1020" spans="1:9" ht="12.75" customHeight="1">
      <c r="A1020" s="1000"/>
      <c r="B1020" s="1000"/>
      <c r="C1020" s="1000"/>
      <c r="D1020" s="1295"/>
      <c r="E1020" s="1295"/>
      <c r="F1020" s="1295"/>
      <c r="G1020" s="1001"/>
      <c r="I1020" s="490"/>
    </row>
    <row r="1021" spans="1:9" ht="12.75" customHeight="1">
      <c r="A1021" s="1000"/>
      <c r="B1021" s="1000"/>
      <c r="C1021" s="1000"/>
      <c r="D1021" s="984"/>
      <c r="E1021" s="1001"/>
      <c r="F1021" s="1001"/>
      <c r="G1021" s="1001"/>
      <c r="I1021" s="490"/>
    </row>
    <row r="1022" spans="1:9" ht="12.75" customHeight="1">
      <c r="A1022" s="254"/>
      <c r="B1022" s="485" t="s">
        <v>2732</v>
      </c>
      <c r="C1022" s="1000"/>
      <c r="D1022" s="1285" t="s">
        <v>1793</v>
      </c>
      <c r="E1022" s="1285"/>
      <c r="F1022" s="1285"/>
      <c r="G1022" s="1001"/>
      <c r="I1022" s="490"/>
    </row>
    <row r="1023" spans="1:9" ht="12.75" customHeight="1">
      <c r="A1023" s="1000"/>
      <c r="B1023" s="1000"/>
      <c r="C1023" s="1000"/>
      <c r="D1023" s="984"/>
      <c r="E1023" s="1001"/>
      <c r="F1023" s="1001"/>
      <c r="G1023" s="1001"/>
      <c r="I1023" s="490"/>
    </row>
    <row r="1024" spans="1:9" ht="12.75" customHeight="1">
      <c r="A1024" s="175"/>
      <c r="B1024" s="485" t="s">
        <v>2732</v>
      </c>
      <c r="C1024" s="354"/>
      <c r="D1024" s="1289" t="s">
        <v>1794</v>
      </c>
      <c r="E1024" s="1289"/>
      <c r="F1024" s="1289"/>
      <c r="G1024" s="3"/>
      <c r="I1024" s="490"/>
    </row>
    <row r="1025" spans="1:9" ht="12.75" customHeight="1">
      <c r="A1025" s="175"/>
      <c r="B1025" s="175"/>
      <c r="C1025" s="354"/>
      <c r="D1025" s="118"/>
      <c r="E1025" s="3"/>
      <c r="F1025" s="3"/>
      <c r="G1025" s="3"/>
      <c r="I1025" s="490"/>
    </row>
    <row r="1026" spans="1:9" ht="12.75" customHeight="1">
      <c r="A1026" s="175"/>
      <c r="B1026" s="485" t="s">
        <v>2732</v>
      </c>
      <c r="C1026" s="354"/>
      <c r="D1026" s="1263" t="s">
        <v>1795</v>
      </c>
      <c r="E1026" s="1263"/>
      <c r="F1026" s="1263"/>
      <c r="G1026" s="3"/>
      <c r="I1026" s="490"/>
    </row>
    <row r="1027" spans="1:9" ht="12.75" customHeight="1">
      <c r="A1027" s="175"/>
      <c r="B1027" s="175"/>
      <c r="C1027" s="354"/>
      <c r="D1027" s="1263"/>
      <c r="E1027" s="1263"/>
      <c r="F1027" s="1263"/>
      <c r="G1027" s="3"/>
      <c r="I1027" s="490"/>
    </row>
    <row r="1028" spans="1:9" ht="12.75" customHeight="1">
      <c r="A1028" s="354"/>
      <c r="B1028" s="354"/>
      <c r="C1028" s="354"/>
      <c r="D1028" s="3"/>
      <c r="E1028" s="3"/>
      <c r="F1028" s="3"/>
      <c r="G1028" s="3"/>
      <c r="I1028" s="490"/>
    </row>
    <row r="1029" spans="1:9" ht="12.75" customHeight="1">
      <c r="A1029" s="1286" t="s">
        <v>1796</v>
      </c>
      <c r="B1029" s="1286"/>
      <c r="C1029" s="1286"/>
      <c r="D1029" s="1286"/>
      <c r="E1029" s="1286"/>
      <c r="F1029" s="1286"/>
      <c r="G1029" s="1286"/>
      <c r="H1029" s="1028"/>
      <c r="I1029" s="1153"/>
    </row>
    <row r="1030" spans="1:9" ht="12.75" customHeight="1">
      <c r="A1030" s="354"/>
      <c r="B1030" s="354"/>
      <c r="C1030" s="354"/>
      <c r="D1030" s="3"/>
      <c r="E1030" s="3"/>
      <c r="F1030" s="3"/>
      <c r="G1030" s="3"/>
      <c r="I1030" s="490"/>
    </row>
    <row r="1031" spans="1:9" ht="12.75" customHeight="1">
      <c r="A1031" s="354"/>
      <c r="B1031" s="354"/>
      <c r="C1031" s="354"/>
      <c r="D1031" s="1284" t="s">
        <v>1797</v>
      </c>
      <c r="E1031" s="1284"/>
      <c r="F1031" s="1284"/>
      <c r="G1031" s="3"/>
      <c r="I1031" s="490"/>
    </row>
    <row r="1032" spans="1:9" ht="12.75" customHeight="1">
      <c r="A1032" s="354"/>
      <c r="B1032" s="354"/>
      <c r="C1032" s="354"/>
      <c r="D1032" s="1285" t="s">
        <v>1798</v>
      </c>
      <c r="E1032" s="1285"/>
      <c r="F1032" s="1285"/>
      <c r="G1032" s="3"/>
      <c r="I1032" s="490"/>
    </row>
    <row r="1033" spans="1:9" ht="12.75" customHeight="1">
      <c r="A1033" s="172"/>
      <c r="B1033" s="172"/>
      <c r="C1033" s="172"/>
      <c r="D1033" s="3"/>
      <c r="E1033" s="3"/>
      <c r="F1033" s="3"/>
      <c r="G1033" s="3"/>
      <c r="I1033" s="490"/>
    </row>
    <row r="1034" spans="1:9" ht="12.75" customHeight="1">
      <c r="A1034" s="175"/>
      <c r="B1034" s="175"/>
      <c r="C1034" s="174"/>
      <c r="D1034" s="1284" t="s">
        <v>1812</v>
      </c>
      <c r="E1034" s="1284"/>
      <c r="F1034" s="1284"/>
      <c r="G1034" s="3"/>
      <c r="I1034" s="490"/>
    </row>
    <row r="1035" spans="1:9" ht="12.75" customHeight="1">
      <c r="A1035" s="354"/>
      <c r="B1035" s="485" t="s">
        <v>2731</v>
      </c>
      <c r="C1035" s="354"/>
      <c r="D1035" s="1285" t="s">
        <v>1270</v>
      </c>
      <c r="E1035" s="1285"/>
      <c r="F1035" s="1285"/>
      <c r="G1035" s="3"/>
      <c r="I1035" s="490"/>
    </row>
    <row r="1036" spans="1:9" ht="12.75" customHeight="1">
      <c r="A1036" s="354"/>
      <c r="B1036" s="175"/>
      <c r="C1036" s="354"/>
      <c r="D1036" s="1285" t="s">
        <v>1799</v>
      </c>
      <c r="E1036" s="1285"/>
      <c r="F1036" s="1285"/>
      <c r="G1036" s="3"/>
      <c r="I1036" s="490"/>
    </row>
    <row r="1037" spans="1:9" ht="12.75" customHeight="1">
      <c r="A1037" s="354"/>
      <c r="B1037" s="354"/>
      <c r="C1037" s="354"/>
      <c r="D1037" s="1285"/>
      <c r="E1037" s="1285"/>
      <c r="F1037" s="1285"/>
      <c r="G1037" s="3"/>
      <c r="I1037" s="490"/>
    </row>
    <row r="1038" spans="1:9" ht="12.75" customHeight="1">
      <c r="A1038" s="1286" t="s">
        <v>1808</v>
      </c>
      <c r="B1038" s="1286"/>
      <c r="C1038" s="1286"/>
      <c r="D1038" s="1286"/>
      <c r="E1038" s="1286"/>
      <c r="F1038" s="1286"/>
      <c r="G1038" s="1286"/>
      <c r="H1038" s="1028"/>
      <c r="I1038" s="1153"/>
    </row>
    <row r="1039" spans="1:9" ht="12.75" customHeight="1">
      <c r="A1039" s="118"/>
      <c r="B1039" s="118"/>
      <c r="C1039" s="354"/>
      <c r="D1039" s="3"/>
      <c r="E1039" s="3"/>
      <c r="F1039" s="3"/>
      <c r="G1039" s="3"/>
      <c r="I1039" s="490"/>
    </row>
    <row r="1040" spans="1:9" ht="12.75" hidden="1" customHeight="1">
      <c r="A1040" s="118"/>
      <c r="B1040" s="402"/>
      <c r="D1040" s="1283" t="s">
        <v>1271</v>
      </c>
      <c r="E1040" s="1283"/>
      <c r="F1040" s="1283"/>
      <c r="G1040" s="3"/>
      <c r="I1040" s="490"/>
    </row>
    <row r="1041" spans="1:9" ht="12.75" hidden="1" customHeight="1">
      <c r="A1041" s="118"/>
      <c r="B1041" s="485" t="s">
        <v>306</v>
      </c>
      <c r="D1041" s="1282" t="s">
        <v>1270</v>
      </c>
      <c r="E1041" s="1282"/>
      <c r="F1041" s="1282"/>
      <c r="G1041" s="3"/>
      <c r="I1041" s="490"/>
    </row>
    <row r="1042" spans="1:9" ht="12.75" hidden="1" customHeight="1">
      <c r="A1042" s="118"/>
      <c r="B1042" s="402"/>
      <c r="D1042" s="1282" t="s">
        <v>1809</v>
      </c>
      <c r="E1042" s="1282"/>
      <c r="F1042" s="1282"/>
      <c r="G1042" s="3"/>
      <c r="I1042" s="490"/>
    </row>
    <row r="1043" spans="1:9" ht="12.75" hidden="1" customHeight="1">
      <c r="A1043" s="118"/>
      <c r="B1043" s="402"/>
      <c r="D1043" s="444"/>
      <c r="E1043" s="444"/>
      <c r="F1043" s="444"/>
      <c r="G1043" s="3"/>
      <c r="I1043" s="490"/>
    </row>
    <row r="1044" spans="1:9" ht="12.75" customHeight="1">
      <c r="A1044" s="118"/>
      <c r="B1044" s="118"/>
      <c r="C1044" s="354"/>
      <c r="D1044" s="1287" t="s">
        <v>1065</v>
      </c>
      <c r="E1044" s="1287"/>
      <c r="F1044" s="1287"/>
      <c r="G1044" s="3"/>
      <c r="I1044" s="490"/>
    </row>
    <row r="1045" spans="1:9" ht="12.75" customHeight="1">
      <c r="A1045" s="319"/>
      <c r="B1045" s="319"/>
      <c r="C1045" s="319"/>
      <c r="D1045" s="1288" t="s">
        <v>2247</v>
      </c>
      <c r="E1045" s="1288"/>
      <c r="F1045" s="1288"/>
      <c r="G1045" s="98"/>
      <c r="I1045" s="490"/>
    </row>
    <row r="1046" spans="1:9" ht="12.75" customHeight="1">
      <c r="A1046" s="175"/>
      <c r="B1046" s="485" t="s">
        <v>2732</v>
      </c>
      <c r="C1046" s="354"/>
      <c r="D1046" s="1288" t="s">
        <v>984</v>
      </c>
      <c r="E1046" s="1288"/>
      <c r="F1046" s="1288"/>
      <c r="G1046" s="3"/>
      <c r="I1046" s="490"/>
    </row>
    <row r="1047" spans="1:9" ht="12.75" customHeight="1">
      <c r="A1047" s="354"/>
      <c r="B1047" s="354"/>
      <c r="C1047" s="354"/>
      <c r="D1047" s="1036" t="s">
        <v>1917</v>
      </c>
      <c r="E1047" s="96"/>
      <c r="F1047" s="96"/>
      <c r="G1047" s="3"/>
      <c r="I1047" s="490"/>
    </row>
    <row r="1048" spans="1:9">
      <c r="A1048" s="402"/>
      <c r="B1048" s="402"/>
      <c r="C1048" s="402"/>
      <c r="I1048" s="490"/>
    </row>
    <row r="1049" spans="1:9">
      <c r="A1049" s="1286" t="s">
        <v>1829</v>
      </c>
      <c r="B1049" s="1286"/>
      <c r="C1049" s="1286"/>
      <c r="D1049" s="1286"/>
      <c r="E1049" s="1286"/>
      <c r="F1049" s="1286"/>
      <c r="G1049" s="1286"/>
      <c r="H1049" s="1028"/>
      <c r="I1049" s="1153"/>
    </row>
    <row r="1050" spans="1:9">
      <c r="A1050" s="402"/>
      <c r="B1050" s="402"/>
      <c r="C1050" s="402"/>
      <c r="I1050" s="490"/>
    </row>
    <row r="1051" spans="1:9">
      <c r="A1051" s="402"/>
      <c r="B1051" s="402"/>
      <c r="C1051" s="402"/>
      <c r="D1051" s="404" t="s">
        <v>1815</v>
      </c>
      <c r="I1051" s="490"/>
    </row>
    <row r="1052" spans="1:9">
      <c r="A1052" s="402"/>
      <c r="B1052" s="402"/>
      <c r="C1052" s="402"/>
      <c r="D1052" s="402" t="s">
        <v>1814</v>
      </c>
      <c r="I1052" s="490"/>
    </row>
    <row r="1053" spans="1:9">
      <c r="A1053" s="402"/>
      <c r="B1053" s="402"/>
      <c r="C1053" s="402"/>
      <c r="D1053" s="404"/>
      <c r="I1053" s="490"/>
    </row>
    <row r="1054" spans="1:9">
      <c r="A1054" s="402"/>
      <c r="B1054" s="485" t="s">
        <v>2732</v>
      </c>
      <c r="C1054" s="402"/>
      <c r="D1054" s="1292" t="s">
        <v>1813</v>
      </c>
      <c r="E1054" s="1292"/>
      <c r="F1054" s="1292"/>
      <c r="I1054" s="490"/>
    </row>
    <row r="1055" spans="1:9">
      <c r="A1055" s="402"/>
      <c r="B1055" s="402"/>
      <c r="C1055" s="402"/>
      <c r="D1055" s="1292"/>
      <c r="E1055" s="1292"/>
      <c r="F1055" s="1292"/>
      <c r="I1055" s="490"/>
    </row>
    <row r="1056" spans="1:9">
      <c r="A1056" s="402"/>
      <c r="B1056" s="402"/>
      <c r="C1056" s="402"/>
      <c r="D1056" s="1292"/>
      <c r="E1056" s="1292"/>
      <c r="F1056" s="1292"/>
      <c r="I1056" s="490"/>
    </row>
    <row r="1057" spans="1:9">
      <c r="A1057" s="402"/>
      <c r="B1057" s="402"/>
      <c r="C1057" s="402"/>
      <c r="D1057" s="1292"/>
      <c r="E1057" s="1292"/>
      <c r="F1057" s="1292"/>
      <c r="I1057" s="490"/>
    </row>
    <row r="1058" spans="1:9">
      <c r="A1058" s="402"/>
      <c r="B1058" s="402"/>
      <c r="C1058" s="402"/>
      <c r="I1058" s="490"/>
    </row>
    <row r="1059" spans="1:9">
      <c r="A1059" s="402"/>
      <c r="B1059" s="402"/>
      <c r="C1059" s="402"/>
      <c r="D1059" s="404" t="s">
        <v>1312</v>
      </c>
      <c r="I1059" s="490"/>
    </row>
    <row r="1060" spans="1:9">
      <c r="A1060" s="402"/>
      <c r="B1060" s="402"/>
      <c r="C1060" s="402"/>
      <c r="D1060" s="402" t="s">
        <v>1816</v>
      </c>
      <c r="I1060" s="490"/>
    </row>
    <row r="1061" spans="1:9">
      <c r="A1061" s="402"/>
      <c r="B1061" s="402"/>
      <c r="C1061" s="402"/>
      <c r="I1061" s="490"/>
    </row>
    <row r="1062" spans="1:9">
      <c r="A1062" s="402"/>
      <c r="B1062" s="485" t="s">
        <v>2731</v>
      </c>
      <c r="C1062" s="402"/>
      <c r="D1062" s="402" t="s">
        <v>1811</v>
      </c>
      <c r="I1062" s="490"/>
    </row>
    <row r="1063" spans="1:9">
      <c r="A1063" s="402"/>
      <c r="B1063" s="402"/>
      <c r="C1063" s="402"/>
      <c r="I1063" s="490"/>
    </row>
    <row r="1064" spans="1:9">
      <c r="A1064" s="402"/>
      <c r="B1064" s="485" t="s">
        <v>2732</v>
      </c>
      <c r="C1064" s="402"/>
      <c r="D1064" s="1292" t="s">
        <v>1817</v>
      </c>
      <c r="E1064" s="1292"/>
      <c r="F1064" s="1292"/>
      <c r="I1064" s="490"/>
    </row>
    <row r="1065" spans="1:9">
      <c r="A1065" s="402"/>
      <c r="B1065" s="402"/>
      <c r="C1065" s="402"/>
      <c r="D1065" s="1292"/>
      <c r="E1065" s="1292"/>
      <c r="F1065" s="1292"/>
      <c r="I1065" s="490"/>
    </row>
    <row r="1066" spans="1:9">
      <c r="A1066" s="402"/>
      <c r="B1066" s="402"/>
      <c r="C1066" s="402"/>
      <c r="D1066" s="1292"/>
      <c r="E1066" s="1292"/>
      <c r="F1066" s="1292"/>
      <c r="I1066" s="490"/>
    </row>
    <row r="1067" spans="1:9">
      <c r="A1067" s="402"/>
      <c r="B1067" s="402"/>
      <c r="C1067" s="402"/>
      <c r="D1067" s="1292"/>
      <c r="E1067" s="1292"/>
      <c r="F1067" s="1292"/>
      <c r="I1067" s="490"/>
    </row>
    <row r="1068" spans="1:9">
      <c r="A1068" s="402"/>
      <c r="B1068" s="402"/>
      <c r="C1068" s="402"/>
      <c r="D1068" s="1292"/>
      <c r="E1068" s="1292"/>
      <c r="F1068" s="1292"/>
      <c r="I1068" s="490"/>
    </row>
    <row r="1069" spans="1:9">
      <c r="A1069" s="402"/>
      <c r="B1069" s="402"/>
      <c r="C1069" s="402"/>
      <c r="I1069" s="490"/>
    </row>
    <row r="1070" spans="1:9">
      <c r="A1070" s="1286" t="s">
        <v>1818</v>
      </c>
      <c r="B1070" s="1286"/>
      <c r="C1070" s="1286"/>
      <c r="D1070" s="1286"/>
      <c r="E1070" s="1286"/>
      <c r="F1070" s="1286"/>
      <c r="G1070" s="1286"/>
      <c r="H1070" s="1028"/>
      <c r="I1070" s="1153"/>
    </row>
    <row r="1071" spans="1:9">
      <c r="A1071" s="402"/>
      <c r="B1071" s="402"/>
      <c r="C1071" s="402"/>
      <c r="I1071" s="490"/>
    </row>
    <row r="1072" spans="1:9">
      <c r="A1072" s="402"/>
      <c r="B1072" s="402"/>
      <c r="C1072" s="402"/>
      <c r="I1072" s="490"/>
    </row>
    <row r="1073" spans="1:9">
      <c r="A1073" s="402"/>
      <c r="B1073" s="485" t="s">
        <v>2731</v>
      </c>
      <c r="C1073" s="402"/>
      <c r="D1073" s="527" t="s">
        <v>1821</v>
      </c>
      <c r="I1073" s="490"/>
    </row>
    <row r="1074" spans="1:9">
      <c r="A1074" s="402"/>
      <c r="B1074" s="402"/>
      <c r="C1074" s="402"/>
      <c r="D1074" s="527" t="s">
        <v>1823</v>
      </c>
      <c r="I1074" s="490"/>
    </row>
    <row r="1075" spans="1:9">
      <c r="A1075" s="402"/>
      <c r="B1075" s="402"/>
      <c r="C1075" s="402"/>
      <c r="D1075" s="527"/>
      <c r="I1075" s="490"/>
    </row>
    <row r="1076" spans="1:9">
      <c r="A1076" s="402"/>
      <c r="B1076" s="485" t="s">
        <v>2732</v>
      </c>
      <c r="C1076" s="402"/>
      <c r="D1076" s="527" t="s">
        <v>1824</v>
      </c>
      <c r="I1076" s="490"/>
    </row>
    <row r="1077" spans="1:9">
      <c r="A1077" s="402"/>
      <c r="B1077" s="402"/>
      <c r="C1077" s="402"/>
      <c r="D1077" s="527" t="s">
        <v>1822</v>
      </c>
      <c r="I1077" s="490"/>
    </row>
    <row r="1078" spans="1:9">
      <c r="A1078" s="402"/>
      <c r="B1078" s="402"/>
      <c r="C1078" s="402"/>
      <c r="D1078" s="527"/>
      <c r="I1078" s="490"/>
    </row>
    <row r="1079" spans="1:9">
      <c r="A1079" s="402"/>
      <c r="B1079" s="485" t="s">
        <v>2732</v>
      </c>
      <c r="C1079" s="402"/>
      <c r="D1079" s="119" t="s">
        <v>1827</v>
      </c>
      <c r="I1079" s="490"/>
    </row>
    <row r="1080" spans="1:9">
      <c r="A1080" s="402"/>
      <c r="B1080" s="402"/>
      <c r="C1080" s="402"/>
      <c r="D1080" s="1263" t="s">
        <v>1828</v>
      </c>
      <c r="E1080" s="1263"/>
      <c r="F1080" s="1263"/>
      <c r="I1080" s="490"/>
    </row>
    <row r="1081" spans="1:9">
      <c r="A1081" s="402"/>
      <c r="B1081" s="402"/>
      <c r="C1081" s="402"/>
      <c r="D1081" s="1263"/>
      <c r="E1081" s="1263"/>
      <c r="F1081" s="1263"/>
      <c r="I1081" s="490"/>
    </row>
    <row r="1082" spans="1:9">
      <c r="A1082" s="402"/>
      <c r="B1082" s="402"/>
      <c r="C1082" s="402"/>
      <c r="D1082" s="1263"/>
      <c r="E1082" s="1263"/>
      <c r="F1082" s="1263"/>
      <c r="I1082" s="490"/>
    </row>
    <row r="1083" spans="1:9">
      <c r="A1083" s="402"/>
      <c r="B1083" s="402"/>
      <c r="C1083" s="402"/>
      <c r="D1083" s="1263"/>
      <c r="E1083" s="1263"/>
      <c r="F1083" s="1263"/>
      <c r="I1083" s="490"/>
    </row>
    <row r="1084" spans="1:9">
      <c r="A1084" s="402"/>
      <c r="B1084" s="402"/>
      <c r="C1084" s="402"/>
      <c r="D1084" s="119" t="s">
        <v>1826</v>
      </c>
      <c r="I1084" s="490"/>
    </row>
    <row r="1085" spans="1:9">
      <c r="A1085" s="402"/>
      <c r="B1085" s="402"/>
      <c r="C1085" s="402"/>
      <c r="D1085" s="119"/>
      <c r="I1085" s="490"/>
    </row>
    <row r="1086" spans="1:9">
      <c r="A1086" s="402"/>
      <c r="B1086" s="402"/>
      <c r="C1086" s="402"/>
      <c r="D1086" s="527" t="s">
        <v>1819</v>
      </c>
      <c r="I1086" s="490"/>
    </row>
    <row r="1087" spans="1:9">
      <c r="A1087" s="402"/>
      <c r="B1087" s="485" t="s">
        <v>2732</v>
      </c>
      <c r="C1087" s="402"/>
      <c r="D1087" s="1291" t="s">
        <v>1820</v>
      </c>
      <c r="E1087" s="1291"/>
      <c r="F1087" s="1291"/>
      <c r="I1087" s="490"/>
    </row>
    <row r="1088" spans="1:9">
      <c r="A1088" s="402"/>
      <c r="B1088" s="402"/>
      <c r="C1088" s="402"/>
      <c r="D1088" s="1291"/>
      <c r="E1088" s="1291"/>
      <c r="F1088" s="1291"/>
      <c r="I1088" s="490"/>
    </row>
    <row r="1089" spans="1:9">
      <c r="A1089" s="402"/>
      <c r="B1089" s="402"/>
      <c r="C1089" s="402"/>
      <c r="D1089" s="1291"/>
      <c r="E1089" s="1291"/>
      <c r="F1089" s="1291"/>
      <c r="I1089" s="490"/>
    </row>
    <row r="1090" spans="1:9">
      <c r="A1090" s="402"/>
      <c r="B1090" s="402"/>
      <c r="C1090" s="402"/>
      <c r="D1090" s="1291"/>
      <c r="E1090" s="1291"/>
      <c r="F1090" s="1291"/>
      <c r="I1090" s="490"/>
    </row>
    <row r="1091" spans="1:9">
      <c r="A1091" s="402"/>
      <c r="B1091" s="402"/>
      <c r="C1091" s="402"/>
      <c r="D1091" s="1291"/>
      <c r="E1091" s="1291"/>
      <c r="F1091" s="1291"/>
      <c r="I1091" s="490"/>
    </row>
    <row r="1092" spans="1:9">
      <c r="A1092" s="402"/>
      <c r="B1092" s="402"/>
      <c r="C1092" s="402"/>
      <c r="D1092" s="527" t="s">
        <v>1825</v>
      </c>
      <c r="I1092" s="490"/>
    </row>
    <row r="1093" spans="1:9">
      <c r="A1093" s="402"/>
      <c r="B1093" s="402"/>
      <c r="C1093" s="402"/>
      <c r="I1093" s="490"/>
    </row>
    <row r="1094" spans="1:9">
      <c r="A1094" s="402"/>
      <c r="B1094" s="485" t="s">
        <v>2732</v>
      </c>
      <c r="C1094" s="402"/>
      <c r="D1094" s="1277" t="s">
        <v>2280</v>
      </c>
      <c r="E1094" s="1277"/>
      <c r="F1094" s="1277"/>
      <c r="I1094" s="490"/>
    </row>
    <row r="1095" spans="1:9">
      <c r="A1095" s="402"/>
      <c r="B1095" s="402"/>
      <c r="C1095" s="402"/>
      <c r="D1095" s="1277"/>
      <c r="E1095" s="1277"/>
      <c r="F1095" s="1277"/>
      <c r="I1095" s="490"/>
    </row>
    <row r="1096" spans="1:9">
      <c r="A1096" s="402"/>
      <c r="B1096" s="402"/>
      <c r="C1096" s="402"/>
      <c r="D1096" s="1277"/>
      <c r="E1096" s="1277"/>
      <c r="F1096" s="1277"/>
      <c r="I1096" s="490"/>
    </row>
    <row r="1097" spans="1:9">
      <c r="A1097" s="402"/>
      <c r="B1097" s="402"/>
      <c r="C1097" s="402"/>
      <c r="I1097" s="490"/>
    </row>
    <row r="1098" spans="1:9">
      <c r="A1098" s="1286" t="s">
        <v>1830</v>
      </c>
      <c r="B1098" s="1286"/>
      <c r="C1098" s="1286"/>
      <c r="D1098" s="1286"/>
      <c r="E1098" s="1286"/>
      <c r="F1098" s="1286"/>
      <c r="G1098" s="1286"/>
      <c r="H1098" s="1028"/>
      <c r="I1098" s="1153"/>
    </row>
    <row r="1099" spans="1:9">
      <c r="A1099" s="402"/>
      <c r="B1099" s="402"/>
      <c r="C1099" s="402"/>
      <c r="I1099" s="490"/>
    </row>
    <row r="1100" spans="1:9">
      <c r="A1100" s="402"/>
      <c r="B1100" s="402"/>
      <c r="C1100" s="402"/>
      <c r="I1100" s="490"/>
    </row>
    <row r="1101" spans="1:9" ht="12.75" customHeight="1">
      <c r="A1101" s="402"/>
      <c r="B1101" s="485" t="s">
        <v>2732</v>
      </c>
      <c r="C1101" s="402"/>
      <c r="D1101" s="1293" t="s">
        <v>1929</v>
      </c>
      <c r="E1101" s="1293"/>
      <c r="F1101" s="1293"/>
      <c r="I1101" s="490"/>
    </row>
    <row r="1102" spans="1:9">
      <c r="A1102" s="402"/>
      <c r="B1102" s="402"/>
      <c r="C1102" s="402"/>
      <c r="D1102" s="1293"/>
      <c r="E1102" s="1293"/>
      <c r="F1102" s="1293"/>
      <c r="I1102" s="490"/>
    </row>
    <row r="1103" spans="1:9">
      <c r="A1103" s="402"/>
      <c r="B1103" s="402"/>
      <c r="C1103" s="402"/>
      <c r="D1103" s="1294" t="s">
        <v>2143</v>
      </c>
      <c r="E1103" s="1263"/>
      <c r="F1103" s="1263"/>
      <c r="I1103" s="490"/>
    </row>
    <row r="1104" spans="1:9">
      <c r="A1104" s="402"/>
      <c r="B1104" s="402"/>
      <c r="C1104" s="402"/>
      <c r="D1104" s="527"/>
      <c r="I1104" s="490"/>
    </row>
    <row r="1105" spans="1:9">
      <c r="A1105" s="402"/>
      <c r="B1105" s="485" t="s">
        <v>2732</v>
      </c>
      <c r="C1105" s="402"/>
      <c r="D1105" s="1291" t="s">
        <v>1831</v>
      </c>
      <c r="E1105" s="1291"/>
      <c r="F1105" s="1291"/>
      <c r="I1105" s="490"/>
    </row>
    <row r="1106" spans="1:9">
      <c r="A1106" s="402"/>
      <c r="B1106" s="402"/>
      <c r="C1106" s="402"/>
      <c r="D1106" s="1291"/>
      <c r="E1106" s="1291"/>
      <c r="F1106" s="1291"/>
      <c r="I1106" s="490"/>
    </row>
    <row r="1107" spans="1:9">
      <c r="A1107" s="402"/>
      <c r="B1107" s="402"/>
      <c r="C1107" s="402"/>
      <c r="D1107" s="527"/>
      <c r="I1107" s="490"/>
    </row>
    <row r="1108" spans="1:9">
      <c r="A1108" s="402"/>
      <c r="B1108" s="485" t="s">
        <v>2732</v>
      </c>
      <c r="C1108" s="402"/>
      <c r="D1108" s="1291" t="s">
        <v>1887</v>
      </c>
      <c r="E1108" s="1291"/>
      <c r="F1108" s="1291"/>
      <c r="I1108" s="490"/>
    </row>
    <row r="1109" spans="1:9">
      <c r="A1109" s="402"/>
      <c r="B1109" s="402"/>
      <c r="C1109" s="402"/>
      <c r="D1109" s="1291"/>
      <c r="E1109" s="1291"/>
      <c r="F1109" s="1291"/>
      <c r="I1109" s="490"/>
    </row>
    <row r="1110" spans="1:9">
      <c r="A1110" s="402"/>
      <c r="B1110" s="402"/>
      <c r="C1110" s="402"/>
      <c r="D1110" s="1291"/>
      <c r="E1110" s="1291"/>
      <c r="F1110" s="1291"/>
      <c r="I1110" s="490"/>
    </row>
    <row r="1111" spans="1:9">
      <c r="A1111" s="402"/>
      <c r="B1111" s="402"/>
      <c r="C1111" s="402"/>
      <c r="D1111" s="1291"/>
      <c r="E1111" s="1291"/>
      <c r="F1111" s="1291"/>
      <c r="I1111" s="490"/>
    </row>
    <row r="1112" spans="1:9">
      <c r="A1112" s="402"/>
      <c r="B1112" s="402"/>
      <c r="C1112" s="402"/>
      <c r="D1112" s="1291"/>
      <c r="E1112" s="1291"/>
      <c r="F1112" s="1291"/>
      <c r="I1112" s="490"/>
    </row>
    <row r="1113" spans="1:9">
      <c r="A1113" s="402"/>
      <c r="B1113" s="402"/>
      <c r="C1113" s="402"/>
      <c r="D1113" s="1291"/>
      <c r="E1113" s="1291"/>
      <c r="F1113" s="1291"/>
      <c r="I1113" s="490"/>
    </row>
    <row r="1114" spans="1:9">
      <c r="A1114" s="402"/>
      <c r="B1114" s="402"/>
      <c r="C1114" s="402"/>
      <c r="D1114" s="527"/>
      <c r="I1114" s="480"/>
    </row>
    <row r="1115" spans="1:9">
      <c r="A1115" s="402"/>
      <c r="B1115" s="485" t="s">
        <v>2732</v>
      </c>
      <c r="C1115" s="402"/>
      <c r="D1115" s="1291" t="s">
        <v>1832</v>
      </c>
      <c r="E1115" s="1291"/>
      <c r="F1115" s="1291"/>
      <c r="I1115" s="490"/>
    </row>
    <row r="1116" spans="1:9">
      <c r="A1116" s="402"/>
      <c r="B1116" s="402"/>
      <c r="C1116" s="402"/>
      <c r="D1116" s="1291"/>
      <c r="E1116" s="1291"/>
      <c r="F1116" s="1291"/>
      <c r="I1116" s="490"/>
    </row>
    <row r="1117" spans="1:9">
      <c r="A1117" s="402"/>
      <c r="B1117" s="402"/>
      <c r="C1117" s="402"/>
      <c r="D1117" s="1291"/>
      <c r="E1117" s="1291"/>
      <c r="F1117" s="1291"/>
      <c r="I1117" s="490"/>
    </row>
    <row r="1118" spans="1:9">
      <c r="A1118" s="402"/>
      <c r="B1118" s="402"/>
      <c r="C1118" s="402"/>
      <c r="D1118" s="527"/>
      <c r="I1118" s="490"/>
    </row>
    <row r="1119" spans="1:9">
      <c r="A1119" s="402"/>
      <c r="B1119" s="485" t="s">
        <v>2732</v>
      </c>
      <c r="C1119" s="402"/>
      <c r="D1119" s="1268" t="s">
        <v>1888</v>
      </c>
      <c r="E1119" s="1268"/>
      <c r="F1119" s="1268"/>
      <c r="I1119" s="490"/>
    </row>
    <row r="1120" spans="1:9">
      <c r="A1120" s="402"/>
      <c r="B1120" s="402"/>
      <c r="C1120" s="402"/>
      <c r="D1120" s="1268"/>
      <c r="E1120" s="1268"/>
      <c r="F1120" s="1268"/>
      <c r="I1120" s="490"/>
    </row>
    <row r="1121" spans="1:9">
      <c r="A1121" s="402"/>
      <c r="B1121" s="402"/>
      <c r="C1121" s="402"/>
      <c r="D1121" s="1268"/>
      <c r="E1121" s="1268"/>
      <c r="F1121" s="1268"/>
      <c r="I1121" s="490"/>
    </row>
    <row r="1122" spans="1:9">
      <c r="A1122" s="402"/>
      <c r="B1122" s="402"/>
      <c r="C1122" s="402"/>
      <c r="D1122" s="980"/>
      <c r="E1122" s="980"/>
      <c r="F1122" s="980"/>
      <c r="I1122" s="490"/>
    </row>
    <row r="1123" spans="1:9" ht="15.75" customHeight="1">
      <c r="A1123" s="402"/>
      <c r="B1123" s="485" t="s">
        <v>2732</v>
      </c>
      <c r="C1123" s="402"/>
      <c r="D1123" s="1263" t="s">
        <v>1889</v>
      </c>
      <c r="E1123" s="1263"/>
      <c r="F1123" s="1263"/>
      <c r="I1123" s="490"/>
    </row>
    <row r="1124" spans="1:9">
      <c r="A1124" s="402"/>
      <c r="B1124" s="402"/>
      <c r="C1124" s="402"/>
      <c r="D1124" s="1263"/>
      <c r="E1124" s="1263"/>
      <c r="F1124" s="1263"/>
      <c r="I1124" s="490"/>
    </row>
    <row r="1125" spans="1:9">
      <c r="A1125" s="402"/>
      <c r="B1125" s="402"/>
      <c r="C1125" s="402"/>
      <c r="D1125" s="1263"/>
      <c r="E1125" s="1263"/>
      <c r="F1125" s="1263"/>
      <c r="I1125" s="490"/>
    </row>
    <row r="1126" spans="1:9">
      <c r="A1126" s="402"/>
      <c r="B1126" s="402"/>
      <c r="C1126" s="402"/>
      <c r="D1126" s="1263"/>
      <c r="E1126" s="1263"/>
      <c r="F1126" s="1263"/>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310"/>
      <c r="H1541" s="1310"/>
      <c r="I1541" s="1310"/>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opLeftCell="A1050" zoomScale="90" zoomScaleNormal="90" workbookViewId="0">
      <selection activeCell="AM555" sqref="AM555:AS555"/>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2.95" customHeight="1">
      <c r="J1" s="100"/>
      <c r="AS1" s="1031">
        <v>4</v>
      </c>
      <c r="BD1" s="3" t="s">
        <v>2496</v>
      </c>
      <c r="BE1" s="3"/>
      <c r="BF1" s="3"/>
    </row>
    <row r="2" spans="1:58" ht="12.95" customHeight="1">
      <c r="BD2" s="3" t="s">
        <v>2497</v>
      </c>
      <c r="BE2" s="3" t="s">
        <v>2498</v>
      </c>
      <c r="BF2" s="3" t="s">
        <v>2499</v>
      </c>
    </row>
    <row r="3" spans="1:58" ht="12.95" customHeight="1">
      <c r="BD3" s="3" t="s">
        <v>2594</v>
      </c>
      <c r="BE3" t="str">
        <f>AC220</f>
        <v xml:space="preserve">Coastal (Monterey, Napa, Orange, San Benito, San Diego, San Luis Obispo, Santa Barbara, Sonoma, and Ventura Counties) </v>
      </c>
    </row>
    <row r="4" spans="1:58" ht="12.95" customHeight="1">
      <c r="BD4" s="3" t="s">
        <v>2506</v>
      </c>
      <c r="BE4" s="1246"/>
    </row>
    <row r="5" spans="1:58" ht="12.95" customHeight="1">
      <c r="BD5" s="3" t="s">
        <v>2507</v>
      </c>
      <c r="BE5">
        <f>SUMIF($AC$718:$AC$752,"&lt;=20%",$G$718:G$752)</f>
        <v>0</v>
      </c>
      <c r="BF5" s="3" t="s">
        <v>2512</v>
      </c>
    </row>
    <row r="6" spans="1:58" ht="12.95" customHeight="1">
      <c r="BD6" s="3" t="s">
        <v>2508</v>
      </c>
      <c r="BE6" s="1249">
        <f>SUMIF($AC$718:$AC$752,"&lt;=25%",$G$718:G$752)-SUM($BE$5:BE5)</f>
        <v>0</v>
      </c>
    </row>
    <row r="7" spans="1:58" ht="12.95" customHeight="1">
      <c r="BD7" s="1247" t="s">
        <v>2500</v>
      </c>
      <c r="BE7" s="1249">
        <f>SUMIF($AC$718:$AC$752,"&lt;=30%",$G$718:G$752)-SUM($BE$5:BE6)</f>
        <v>28</v>
      </c>
    </row>
    <row r="8" spans="1:58" ht="26.25" customHeight="1">
      <c r="A8" s="1456" t="s">
        <v>100</v>
      </c>
      <c r="B8" s="1456"/>
      <c r="C8" s="1456"/>
      <c r="D8" s="1456"/>
      <c r="E8" s="1456"/>
      <c r="F8" s="1456"/>
      <c r="G8" s="1456"/>
      <c r="H8" s="1456"/>
      <c r="I8" s="1456"/>
      <c r="J8" s="1456"/>
      <c r="K8" s="1456"/>
      <c r="L8" s="1456"/>
      <c r="M8" s="1456"/>
      <c r="N8" s="1456"/>
      <c r="O8" s="1456"/>
      <c r="P8" s="1456"/>
      <c r="Q8" s="1456"/>
      <c r="R8" s="1456"/>
      <c r="S8" s="1456"/>
      <c r="T8" s="1456"/>
      <c r="U8" s="1456"/>
      <c r="V8" s="1456"/>
      <c r="W8" s="1456"/>
      <c r="X8" s="1456"/>
      <c r="Y8" s="1456"/>
      <c r="Z8" s="1456"/>
      <c r="AA8" s="1456"/>
      <c r="AB8" s="1456"/>
      <c r="AC8" s="1456"/>
      <c r="AD8" s="1456"/>
      <c r="AE8" s="1456"/>
      <c r="AF8" s="1456"/>
      <c r="AG8" s="1456"/>
      <c r="AH8" s="1456"/>
      <c r="AI8" s="1456"/>
      <c r="AJ8" s="1456"/>
      <c r="AK8" s="1456"/>
      <c r="AL8" s="1456"/>
      <c r="AM8" s="1456"/>
      <c r="AN8" s="1456"/>
      <c r="AO8" s="1456"/>
      <c r="AP8" s="1456"/>
      <c r="AQ8" s="1456"/>
      <c r="AR8" s="1456"/>
      <c r="AS8" s="1456"/>
      <c r="AT8" s="1456"/>
      <c r="AU8" s="898"/>
      <c r="AV8" s="898"/>
      <c r="AW8" s="898"/>
      <c r="AX8" s="898"/>
      <c r="AY8" s="898"/>
      <c r="BD8" s="3" t="s">
        <v>2509</v>
      </c>
      <c r="BE8" s="1249">
        <f>SUMIF($AC$718:$AC$752,"&lt;=35%",$G$718:G$752)-SUM($BE$5:BE7)</f>
        <v>0</v>
      </c>
    </row>
    <row r="9" spans="1:58" ht="12.95" customHeight="1">
      <c r="A9" s="1433" t="s">
        <v>2076</v>
      </c>
      <c r="B9" s="1433"/>
      <c r="C9" s="1433"/>
      <c r="D9" s="1433"/>
      <c r="E9" s="1433"/>
      <c r="F9" s="1433"/>
      <c r="G9" s="1433"/>
      <c r="H9" s="1433"/>
      <c r="I9" s="1433"/>
      <c r="J9" s="1433"/>
      <c r="K9" s="1433"/>
      <c r="L9" s="1433"/>
      <c r="M9" s="1433"/>
      <c r="N9" s="1433"/>
      <c r="O9" s="1433"/>
      <c r="P9" s="1433"/>
      <c r="Q9" s="1433"/>
      <c r="R9" s="1433"/>
      <c r="S9" s="1433"/>
      <c r="T9" s="1433"/>
      <c r="U9" s="1433"/>
      <c r="V9" s="1433"/>
      <c r="W9" s="1433"/>
      <c r="X9" s="1433"/>
      <c r="Y9" s="1433"/>
      <c r="Z9" s="1433"/>
      <c r="AA9" s="1433"/>
      <c r="AB9" s="1433"/>
      <c r="AC9" s="1433"/>
      <c r="AD9" s="1433"/>
      <c r="AE9" s="1433"/>
      <c r="AF9" s="1433"/>
      <c r="AG9" s="1433"/>
      <c r="AH9" s="1433"/>
      <c r="AI9" s="1433"/>
      <c r="AJ9" s="1433"/>
      <c r="AK9" s="1433"/>
      <c r="AL9" s="1433"/>
      <c r="AM9" s="1433"/>
      <c r="AN9" s="1433"/>
      <c r="AO9" s="1433"/>
      <c r="AP9" s="1433"/>
      <c r="AQ9" s="1433"/>
      <c r="AR9" s="1433"/>
      <c r="AS9" s="1433"/>
      <c r="AT9" s="1433"/>
      <c r="AU9" s="13"/>
      <c r="AV9" s="13"/>
      <c r="AW9" s="13"/>
      <c r="AX9" s="13"/>
      <c r="AY9" s="13"/>
      <c r="BD9" s="1248" t="s">
        <v>2501</v>
      </c>
      <c r="BE9" s="1249">
        <f>SUMIF($AC$718:$AC$752,"&lt;=40%",$G$718:G$752)-SUM($BE$5:BE8)</f>
        <v>0</v>
      </c>
    </row>
    <row r="10" spans="1:58" ht="12.95" customHeight="1">
      <c r="A10" s="1433" t="s">
        <v>2458</v>
      </c>
      <c r="B10" s="1433"/>
      <c r="C10" s="1433"/>
      <c r="D10" s="1433"/>
      <c r="E10" s="1433"/>
      <c r="F10" s="1433"/>
      <c r="G10" s="1433"/>
      <c r="H10" s="1433"/>
      <c r="I10" s="1433"/>
      <c r="J10" s="1433"/>
      <c r="K10" s="1433"/>
      <c r="L10" s="1433"/>
      <c r="M10" s="1433"/>
      <c r="N10" s="1433"/>
      <c r="O10" s="1433"/>
      <c r="P10" s="1433"/>
      <c r="Q10" s="1433"/>
      <c r="R10" s="1433"/>
      <c r="S10" s="1433"/>
      <c r="T10" s="1433"/>
      <c r="U10" s="1433"/>
      <c r="V10" s="1433"/>
      <c r="W10" s="1433"/>
      <c r="X10" s="1433"/>
      <c r="Y10" s="1433"/>
      <c r="Z10" s="1433"/>
      <c r="AA10" s="1433"/>
      <c r="AB10" s="1433"/>
      <c r="AC10" s="1433"/>
      <c r="AD10" s="1433"/>
      <c r="AE10" s="1433"/>
      <c r="AF10" s="1433"/>
      <c r="AG10" s="1433"/>
      <c r="AH10" s="1433"/>
      <c r="AI10" s="1433"/>
      <c r="AJ10" s="1433"/>
      <c r="AK10" s="1433"/>
      <c r="AL10" s="1433"/>
      <c r="AM10" s="1433"/>
      <c r="AN10" s="1433"/>
      <c r="AO10" s="1433"/>
      <c r="AP10" s="1433"/>
      <c r="AQ10" s="1433"/>
      <c r="AR10" s="1433"/>
      <c r="AS10" s="1433"/>
      <c r="AT10" s="1433"/>
      <c r="AU10" s="13"/>
      <c r="AV10" s="13"/>
      <c r="AW10" s="13"/>
      <c r="AX10" s="13"/>
      <c r="AY10" s="13"/>
      <c r="BD10" s="3" t="s">
        <v>2510</v>
      </c>
      <c r="BE10" s="1249">
        <f>SUMIF($AC$718:$AC$752,"&lt;=45%",$G$718:G$752)-SUM($BE$5:BE9)</f>
        <v>0</v>
      </c>
    </row>
    <row r="11" spans="1:58" ht="12.95" customHeight="1">
      <c r="A11" s="1433" t="s">
        <v>2604</v>
      </c>
      <c r="B11" s="1433"/>
      <c r="C11" s="1433"/>
      <c r="D11" s="1433"/>
      <c r="E11" s="1433"/>
      <c r="F11" s="1433"/>
      <c r="G11" s="1433"/>
      <c r="H11" s="1433"/>
      <c r="I11" s="1433"/>
      <c r="J11" s="1433"/>
      <c r="K11" s="1433"/>
      <c r="L11" s="1433"/>
      <c r="M11" s="1433"/>
      <c r="N11" s="1433"/>
      <c r="O11" s="1433"/>
      <c r="P11" s="1433"/>
      <c r="Q11" s="1433"/>
      <c r="R11" s="1433"/>
      <c r="S11" s="1433"/>
      <c r="T11" s="1433"/>
      <c r="U11" s="1433"/>
      <c r="V11" s="1433"/>
      <c r="W11" s="1433"/>
      <c r="X11" s="1433"/>
      <c r="Y11" s="1433"/>
      <c r="Z11" s="1433"/>
      <c r="AA11" s="1433"/>
      <c r="AB11" s="1433"/>
      <c r="AC11" s="1433"/>
      <c r="AD11" s="1433"/>
      <c r="AE11" s="1433"/>
      <c r="AF11" s="1433"/>
      <c r="AG11" s="1433"/>
      <c r="AH11" s="1433"/>
      <c r="AI11" s="1433"/>
      <c r="AJ11" s="1433"/>
      <c r="AK11" s="1433"/>
      <c r="AL11" s="1433"/>
      <c r="AM11" s="1433"/>
      <c r="AN11" s="1433"/>
      <c r="AO11" s="1433"/>
      <c r="AP11" s="1433"/>
      <c r="AQ11" s="1433"/>
      <c r="AR11" s="1433"/>
      <c r="AS11" s="1433"/>
      <c r="AT11" s="1433"/>
      <c r="AU11" s="13"/>
      <c r="AV11" s="13"/>
      <c r="AW11" s="13"/>
      <c r="AX11" s="13"/>
      <c r="AY11" s="13"/>
      <c r="BD11" s="1247" t="s">
        <v>2502</v>
      </c>
      <c r="BE11" s="1249">
        <f>SUMIF($AC$718:$AC$752,"&lt;=50%",$G$718:G$752)-SUM($BE$5:BE10)</f>
        <v>28</v>
      </c>
    </row>
    <row r="12" spans="1:58" ht="12.95" customHeight="1">
      <c r="A12" s="1457" t="s">
        <v>2609</v>
      </c>
      <c r="B12" s="1457"/>
      <c r="C12" s="1457"/>
      <c r="D12" s="1457"/>
      <c r="E12" s="1457"/>
      <c r="F12" s="1457"/>
      <c r="G12" s="1457"/>
      <c r="H12" s="1457"/>
      <c r="I12" s="1457"/>
      <c r="J12" s="1457"/>
      <c r="K12" s="1457"/>
      <c r="L12" s="1457"/>
      <c r="M12" s="1457"/>
      <c r="N12" s="1457"/>
      <c r="O12" s="1457"/>
      <c r="P12" s="1457"/>
      <c r="Q12" s="1457"/>
      <c r="R12" s="1457"/>
      <c r="S12" s="1457"/>
      <c r="T12" s="1457"/>
      <c r="U12" s="1457"/>
      <c r="V12" s="1457"/>
      <c r="W12" s="1457"/>
      <c r="X12" s="1457"/>
      <c r="Y12" s="1457"/>
      <c r="Z12" s="1457"/>
      <c r="AA12" s="1457"/>
      <c r="AB12" s="1457"/>
      <c r="AC12" s="1457"/>
      <c r="AD12" s="1457"/>
      <c r="AE12" s="1457"/>
      <c r="AF12" s="1457"/>
      <c r="AG12" s="1457"/>
      <c r="AH12" s="1457"/>
      <c r="AI12" s="1457"/>
      <c r="AJ12" s="1457"/>
      <c r="AK12" s="1457"/>
      <c r="AL12" s="1457"/>
      <c r="AM12" s="1457"/>
      <c r="AN12" s="1457"/>
      <c r="AO12" s="1457"/>
      <c r="AP12" s="1457"/>
      <c r="AQ12" s="1457"/>
      <c r="AR12" s="1457"/>
      <c r="AS12" s="1457"/>
      <c r="AT12" s="1457"/>
      <c r="AU12" s="6"/>
      <c r="AV12" s="6"/>
      <c r="AW12" s="6"/>
      <c r="AX12" s="6"/>
      <c r="AY12" s="6"/>
      <c r="BD12" s="3" t="s">
        <v>2511</v>
      </c>
      <c r="BE12" s="1249">
        <f>SUMIF($AC$718:$AC$752,"&lt;=55%",$G$718:G$752)-SUM($BE$5:BE11)</f>
        <v>0</v>
      </c>
    </row>
    <row r="13" spans="1:58" ht="12.95" customHeight="1">
      <c r="A13" s="1261" t="s">
        <v>2077</v>
      </c>
      <c r="B13" s="1261"/>
      <c r="C13" s="1261"/>
      <c r="D13" s="1261"/>
      <c r="E13" s="1261"/>
      <c r="F13" s="1261"/>
      <c r="G13" s="1261"/>
      <c r="H13" s="1261"/>
      <c r="I13" s="1261"/>
      <c r="J13" s="1261"/>
      <c r="K13" s="1261"/>
      <c r="L13" s="1261"/>
      <c r="M13" s="1261"/>
      <c r="N13" s="1261"/>
      <c r="O13" s="1261"/>
      <c r="P13" s="1261"/>
      <c r="Q13" s="1261"/>
      <c r="R13" s="1261"/>
      <c r="S13" s="1261"/>
      <c r="T13" s="1261"/>
      <c r="U13" s="1261"/>
      <c r="V13" s="1261"/>
      <c r="W13" s="1261"/>
      <c r="X13" s="1261"/>
      <c r="Y13" s="1261"/>
      <c r="Z13" s="1261"/>
      <c r="AA13" s="1261"/>
      <c r="AB13" s="1261"/>
      <c r="AC13" s="1261"/>
      <c r="AD13" s="1261"/>
      <c r="AE13" s="1261"/>
      <c r="AF13" s="1261"/>
      <c r="AG13" s="1261"/>
      <c r="AH13" s="1261"/>
      <c r="AI13" s="1261"/>
      <c r="AJ13" s="1261"/>
      <c r="AK13" s="1261"/>
      <c r="AL13" s="1261"/>
      <c r="AM13" s="1261"/>
      <c r="AN13" s="1261"/>
      <c r="AO13" s="1261"/>
      <c r="AP13" s="1261"/>
      <c r="AQ13" s="1261"/>
      <c r="AR13" s="1261"/>
      <c r="AS13" s="1261"/>
      <c r="AT13" s="1261"/>
      <c r="AU13" s="899"/>
      <c r="AV13" s="899"/>
      <c r="AW13" s="899"/>
      <c r="AX13" s="899"/>
      <c r="AY13" s="899"/>
      <c r="BD13" s="1248" t="s">
        <v>2503</v>
      </c>
      <c r="BE13" s="1249">
        <f>SUMIF($AC$718:$AC$752,"&lt;=60%",$G$718:G$752)-SUM($BE$5:BE12)</f>
        <v>151</v>
      </c>
    </row>
    <row r="14" spans="1:58" ht="12.95" customHeight="1">
      <c r="A14" s="1261"/>
      <c r="B14" s="1261"/>
      <c r="C14" s="1261"/>
      <c r="D14" s="1261"/>
      <c r="E14" s="1261"/>
      <c r="F14" s="1261"/>
      <c r="G14" s="1261"/>
      <c r="H14" s="1261"/>
      <c r="I14" s="1261"/>
      <c r="J14" s="1261"/>
      <c r="K14" s="1261"/>
      <c r="L14" s="1261"/>
      <c r="M14" s="1261"/>
      <c r="N14" s="1261"/>
      <c r="O14" s="1261"/>
      <c r="P14" s="1261"/>
      <c r="Q14" s="1261"/>
      <c r="R14" s="1261"/>
      <c r="S14" s="1261"/>
      <c r="T14" s="1261"/>
      <c r="U14" s="1261"/>
      <c r="V14" s="1261"/>
      <c r="W14" s="1261"/>
      <c r="X14" s="1261"/>
      <c r="Y14" s="1261"/>
      <c r="Z14" s="1261"/>
      <c r="AA14" s="1261"/>
      <c r="AB14" s="1261"/>
      <c r="AC14" s="1261"/>
      <c r="AD14" s="1261"/>
      <c r="AE14" s="1261"/>
      <c r="AF14" s="1261"/>
      <c r="AG14" s="1261"/>
      <c r="AH14" s="1261"/>
      <c r="AI14" s="1261"/>
      <c r="AJ14" s="1261"/>
      <c r="AK14" s="1261"/>
      <c r="AL14" s="1261"/>
      <c r="AM14" s="1261"/>
      <c r="AN14" s="1261"/>
      <c r="AO14" s="1261"/>
      <c r="AP14" s="1261"/>
      <c r="AQ14" s="1261"/>
      <c r="AR14" s="1261"/>
      <c r="AS14" s="1261"/>
      <c r="AT14" s="1261"/>
      <c r="AU14" s="899"/>
      <c r="AV14" s="899"/>
      <c r="AW14" s="899"/>
      <c r="AX14" s="899"/>
      <c r="AY14" s="899"/>
      <c r="BD14" s="1247" t="s">
        <v>2504</v>
      </c>
      <c r="BE14" s="1249">
        <f>SUMIF($AC$718:$AC$752,"&lt;=70%",$G$718:G$752)-SUM($BE$5:BE13)</f>
        <v>62</v>
      </c>
    </row>
    <row r="15" spans="1:58"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2505</v>
      </c>
      <c r="BE15" s="1249">
        <f>SUMIF($AC$718:$AC$752,"&lt;=80%",$G$718:G$752)-SUM($BE$5:BE14)</f>
        <v>0</v>
      </c>
    </row>
    <row r="16" spans="1:58" ht="12.95" customHeight="1">
      <c r="A16" s="57" t="s">
        <v>2078</v>
      </c>
      <c r="C16" s="4"/>
      <c r="D16" s="4"/>
      <c r="E16" s="4"/>
      <c r="F16" s="4"/>
      <c r="G16" s="4"/>
      <c r="H16" s="1465" t="s">
        <v>2610</v>
      </c>
      <c r="I16" s="1466"/>
      <c r="J16" s="1466"/>
      <c r="K16" s="1466"/>
      <c r="L16" s="1466"/>
      <c r="M16" s="1466"/>
      <c r="N16" s="1466"/>
      <c r="O16" s="1466"/>
      <c r="P16" s="1466"/>
      <c r="Q16" s="1466"/>
      <c r="R16" s="1466"/>
      <c r="S16" s="1466"/>
      <c r="T16" s="1466"/>
      <c r="U16" s="1466"/>
      <c r="V16" s="1466"/>
      <c r="W16" s="1466"/>
      <c r="X16" s="1466"/>
      <c r="Y16" s="1466"/>
      <c r="Z16" s="1466"/>
      <c r="AA16" s="1466"/>
      <c r="AB16" s="1466"/>
      <c r="AC16" s="1466"/>
      <c r="AD16" s="1466"/>
      <c r="AE16" s="1466"/>
      <c r="AF16" s="1466"/>
      <c r="AG16" s="1466"/>
      <c r="AH16" s="1466"/>
      <c r="AI16" s="1466"/>
      <c r="AJ16" s="1466"/>
      <c r="BD16" s="1248" t="s">
        <v>656</v>
      </c>
      <c r="BE16" s="1249" t="str">
        <f>Application!H18</f>
        <v>Market Two</v>
      </c>
    </row>
    <row r="17" spans="1:58" ht="12.95" customHeight="1">
      <c r="BD17" s="1247" t="s">
        <v>2518</v>
      </c>
      <c r="BE17" s="1249">
        <f>Application!AA934</f>
        <v>0</v>
      </c>
    </row>
    <row r="18" spans="1:58" ht="12.95" customHeight="1">
      <c r="A18" s="57" t="s">
        <v>101</v>
      </c>
      <c r="C18" s="4"/>
      <c r="D18" s="4"/>
      <c r="E18" s="4"/>
      <c r="F18" s="4"/>
      <c r="G18" s="4"/>
      <c r="H18" s="1462" t="s">
        <v>2611</v>
      </c>
      <c r="I18" s="1463"/>
      <c r="J18" s="1463"/>
      <c r="K18" s="1463"/>
      <c r="L18" s="1463"/>
      <c r="M18" s="1463"/>
      <c r="N18" s="1463"/>
      <c r="O18" s="1463"/>
      <c r="P18" s="1463"/>
      <c r="Q18" s="1463"/>
      <c r="R18" s="1463"/>
      <c r="S18" s="1463"/>
      <c r="T18" s="1463"/>
      <c r="U18" s="1463"/>
      <c r="V18" s="1463"/>
      <c r="W18" s="1463"/>
      <c r="X18" s="1463"/>
      <c r="Y18" s="1463"/>
      <c r="Z18" s="1463"/>
      <c r="AA18" s="1463"/>
      <c r="AB18" s="1463"/>
      <c r="AC18" s="1463"/>
      <c r="AD18" s="1463"/>
      <c r="AE18" s="1463"/>
      <c r="AF18" s="1463"/>
      <c r="AG18" s="1463"/>
      <c r="AH18" s="1463"/>
      <c r="AI18" s="1463"/>
      <c r="AJ18" s="1463"/>
      <c r="BD18" s="1248" t="s">
        <v>2519</v>
      </c>
      <c r="BE18" s="1249">
        <f>'CalHFA Addendum'!N11</f>
        <v>0</v>
      </c>
    </row>
    <row r="19" spans="1:58" ht="12.95" customHeight="1">
      <c r="BD19" s="1247" t="s">
        <v>2520</v>
      </c>
      <c r="BE19" s="1249">
        <f>Application!M26</f>
        <v>4393099</v>
      </c>
    </row>
    <row r="20" spans="1:58" ht="12.95" customHeight="1">
      <c r="A20" s="1458" t="s">
        <v>873</v>
      </c>
      <c r="B20" s="1458"/>
      <c r="C20" s="1458"/>
      <c r="D20" s="1458"/>
      <c r="E20" s="1458"/>
      <c r="F20" s="1458"/>
      <c r="G20" s="1458"/>
      <c r="H20" s="1458"/>
      <c r="I20" s="1458"/>
      <c r="J20" s="1458"/>
      <c r="K20" s="1458"/>
      <c r="L20" s="1458"/>
      <c r="M20" s="1458"/>
      <c r="N20" s="1458"/>
      <c r="O20" s="1458"/>
      <c r="P20" s="1458"/>
      <c r="Q20" s="1458"/>
      <c r="R20" s="1458"/>
      <c r="S20" s="1458"/>
      <c r="T20" s="1458"/>
      <c r="U20" s="1458"/>
      <c r="V20" s="1458"/>
      <c r="W20" s="1458"/>
      <c r="X20" s="1458"/>
      <c r="Y20" s="1458"/>
      <c r="Z20" s="1458"/>
      <c r="AA20" s="1458"/>
      <c r="AB20" s="1458"/>
      <c r="AC20" s="1458"/>
      <c r="AD20" s="1458"/>
      <c r="AE20" s="1458"/>
      <c r="AF20" s="1458"/>
      <c r="AG20" s="1458"/>
      <c r="AH20" s="1458"/>
      <c r="AI20" s="1458"/>
      <c r="AJ20" s="1458"/>
      <c r="AK20" s="1458"/>
      <c r="AL20" s="1458"/>
      <c r="AM20" s="1458"/>
      <c r="AN20" s="1458"/>
      <c r="AO20" s="1458"/>
      <c r="AP20" s="1458"/>
      <c r="AQ20" s="1458"/>
      <c r="AR20" s="1458"/>
      <c r="AS20" s="1458"/>
      <c r="AT20" s="1458"/>
      <c r="AU20" s="900"/>
      <c r="AV20" s="900"/>
      <c r="AW20" s="900"/>
      <c r="AX20" s="900"/>
      <c r="AY20" s="900"/>
      <c r="BD20" s="1248" t="s">
        <v>2521</v>
      </c>
      <c r="BE20" s="1249">
        <f>Application!M27</f>
        <v>0</v>
      </c>
    </row>
    <row r="21" spans="1:58" ht="12.95" customHeight="1">
      <c r="A21" s="1467" t="s">
        <v>1008</v>
      </c>
      <c r="B21" s="1467"/>
      <c r="C21" s="1467"/>
      <c r="D21" s="1467"/>
      <c r="E21" s="1467"/>
      <c r="F21" s="1467"/>
      <c r="G21" s="1467"/>
      <c r="H21" s="1467"/>
      <c r="I21" s="1467"/>
      <c r="J21" s="1467"/>
      <c r="K21" s="1467"/>
      <c r="L21" s="1467"/>
      <c r="M21" s="1467"/>
      <c r="N21" s="1467"/>
      <c r="O21" s="1467"/>
      <c r="P21" s="1467"/>
      <c r="Q21" s="1467"/>
      <c r="R21" s="1467"/>
      <c r="S21" s="1467"/>
      <c r="T21" s="1467"/>
      <c r="U21" s="1467"/>
      <c r="V21" s="1467"/>
      <c r="W21" s="1467"/>
      <c r="X21" s="1467"/>
      <c r="Y21" s="1467"/>
      <c r="Z21" s="1467"/>
      <c r="AA21" s="1467"/>
      <c r="AB21" s="1467"/>
      <c r="AC21" s="1467"/>
      <c r="AD21" s="1467"/>
      <c r="AE21" s="1467"/>
      <c r="AF21" s="1467"/>
      <c r="AG21" s="1467"/>
      <c r="AH21" s="1467"/>
      <c r="AI21" s="1467"/>
      <c r="AJ21" s="1467"/>
      <c r="AK21" s="1467"/>
      <c r="AL21" s="1467"/>
      <c r="AM21" s="901"/>
      <c r="AN21" s="901"/>
      <c r="AO21" s="901"/>
      <c r="AP21" s="901"/>
      <c r="AQ21" s="901"/>
      <c r="AR21" s="901"/>
      <c r="AS21" s="901"/>
      <c r="AT21" s="901"/>
      <c r="AU21" s="901"/>
      <c r="AV21" s="901"/>
      <c r="AW21" s="901"/>
      <c r="AX21" s="901"/>
      <c r="AY21" s="901"/>
      <c r="BD21" s="1247" t="s">
        <v>2522</v>
      </c>
      <c r="BE21" s="1249">
        <f>Application!AM554</f>
        <v>45000000</v>
      </c>
    </row>
    <row r="22" spans="1:58"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282</v>
      </c>
      <c r="BE22" s="1249">
        <f>'Sources and Uses Budget'!B105</f>
        <v>90329125</v>
      </c>
      <c r="BF22" s="3" t="s">
        <v>2595</v>
      </c>
    </row>
    <row r="23" spans="1:58" ht="12.95" customHeight="1">
      <c r="A23" s="1293" t="s">
        <v>2146</v>
      </c>
      <c r="B23" s="1293"/>
      <c r="C23" s="1293"/>
      <c r="D23" s="1293"/>
      <c r="E23" s="1293"/>
      <c r="F23" s="1293"/>
      <c r="G23" s="1293"/>
      <c r="H23" s="1293"/>
      <c r="I23" s="1293"/>
      <c r="J23" s="1293"/>
      <c r="K23" s="1293"/>
      <c r="L23" s="1293"/>
      <c r="M23" s="1293"/>
      <c r="N23" s="1293"/>
      <c r="O23" s="1293"/>
      <c r="P23" s="1293"/>
      <c r="Q23" s="1293"/>
      <c r="R23" s="1293"/>
      <c r="S23" s="1293"/>
      <c r="T23" s="1293"/>
      <c r="U23" s="1293"/>
      <c r="V23" s="1293"/>
      <c r="W23" s="1293"/>
      <c r="X23" s="1293"/>
      <c r="Y23" s="1293"/>
      <c r="Z23" s="1293"/>
      <c r="AA23" s="1293"/>
      <c r="AB23" s="1293"/>
      <c r="AC23" s="1293"/>
      <c r="AD23" s="1293"/>
      <c r="AE23" s="1293"/>
      <c r="AF23" s="1293"/>
      <c r="AG23" s="1293"/>
      <c r="AH23" s="1293"/>
      <c r="AI23" s="1293"/>
      <c r="AJ23" s="1293"/>
      <c r="AK23" s="1293"/>
      <c r="AL23" s="1293"/>
      <c r="AM23" s="1293"/>
      <c r="AN23" s="1293"/>
      <c r="AO23" s="1293"/>
      <c r="AP23" s="1293"/>
      <c r="AQ23" s="1293"/>
      <c r="AR23" s="1293"/>
      <c r="AS23" s="1293"/>
      <c r="AT23" s="1293"/>
      <c r="AU23" s="18"/>
      <c r="AV23" s="18"/>
      <c r="AW23" s="18"/>
      <c r="AX23" s="18"/>
      <c r="AY23" s="18"/>
      <c r="AZ23" s="18"/>
      <c r="BD23" s="1247" t="s">
        <v>2523</v>
      </c>
      <c r="BE23" s="1249">
        <f>'Sources and Uses Budget'!B4</f>
        <v>0</v>
      </c>
    </row>
    <row r="24" spans="1:58" ht="12.95" customHeight="1">
      <c r="A24" s="1293"/>
      <c r="B24" s="1293"/>
      <c r="C24" s="1293"/>
      <c r="D24" s="1293"/>
      <c r="E24" s="1293"/>
      <c r="F24" s="1293"/>
      <c r="G24" s="1293"/>
      <c r="H24" s="1293"/>
      <c r="I24" s="1293"/>
      <c r="J24" s="1293"/>
      <c r="K24" s="1293"/>
      <c r="L24" s="1293"/>
      <c r="M24" s="1293"/>
      <c r="N24" s="1293"/>
      <c r="O24" s="1293"/>
      <c r="P24" s="1293"/>
      <c r="Q24" s="1293"/>
      <c r="R24" s="1293"/>
      <c r="S24" s="1293"/>
      <c r="T24" s="1293"/>
      <c r="U24" s="1293"/>
      <c r="V24" s="1293"/>
      <c r="W24" s="1293"/>
      <c r="X24" s="1293"/>
      <c r="Y24" s="1293"/>
      <c r="Z24" s="1293"/>
      <c r="AA24" s="1293"/>
      <c r="AB24" s="1293"/>
      <c r="AC24" s="1293"/>
      <c r="AD24" s="1293"/>
      <c r="AE24" s="1293"/>
      <c r="AF24" s="1293"/>
      <c r="AG24" s="1293"/>
      <c r="AH24" s="1293"/>
      <c r="AI24" s="1293"/>
      <c r="AJ24" s="1293"/>
      <c r="AK24" s="1293"/>
      <c r="AL24" s="1293"/>
      <c r="AM24" s="1293"/>
      <c r="AN24" s="1293"/>
      <c r="AO24" s="1293"/>
      <c r="AP24" s="1293"/>
      <c r="AQ24" s="1293"/>
      <c r="AR24" s="1293"/>
      <c r="AS24" s="1293"/>
      <c r="AT24" s="1293"/>
      <c r="AU24" s="18"/>
      <c r="AV24" s="18"/>
      <c r="AW24" s="18"/>
      <c r="AX24" s="18"/>
      <c r="AY24" s="18"/>
      <c r="AZ24" s="18"/>
      <c r="BD24" s="1248" t="s">
        <v>2524</v>
      </c>
      <c r="BE24" s="1249">
        <f>Application!AG450</f>
        <v>132844</v>
      </c>
    </row>
    <row r="25" spans="1:58"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2525</v>
      </c>
      <c r="BE25" s="1249" t="str">
        <f>Application!D208</f>
        <v>40%/60% Average Income</v>
      </c>
    </row>
    <row r="26" spans="1:58" ht="12.95" customHeight="1">
      <c r="A26" s="4"/>
      <c r="C26" s="4"/>
      <c r="D26" s="4"/>
      <c r="E26" s="4"/>
      <c r="F26" s="4"/>
      <c r="G26" s="4"/>
      <c r="H26" s="4"/>
      <c r="I26" s="4"/>
      <c r="J26" s="4"/>
      <c r="K26" s="4"/>
      <c r="L26" s="4"/>
      <c r="M26" s="1464">
        <f>'Basis &amp; Credits'!AB56</f>
        <v>4393099</v>
      </c>
      <c r="N26" s="1464"/>
      <c r="O26" s="1464"/>
      <c r="P26" s="1464"/>
      <c r="Q26" s="1464"/>
      <c r="R26" s="4" t="s">
        <v>759</v>
      </c>
      <c r="S26" s="4"/>
      <c r="T26" s="4"/>
      <c r="U26" s="4"/>
      <c r="V26" s="4"/>
      <c r="W26" s="4"/>
      <c r="X26" s="4"/>
      <c r="Y26" s="4"/>
      <c r="Z26" s="4"/>
      <c r="AF26" s="4"/>
      <c r="AG26" s="4"/>
      <c r="AH26" s="4"/>
      <c r="AI26" s="4"/>
      <c r="AJ26" s="4"/>
      <c r="AK26" s="4"/>
      <c r="BD26" s="1248" t="s">
        <v>1638</v>
      </c>
      <c r="BE26" s="1249" t="b">
        <f>Application!M356="Yes"</f>
        <v>0</v>
      </c>
    </row>
    <row r="27" spans="1:58" ht="12.95" customHeight="1">
      <c r="A27" s="4"/>
      <c r="C27" s="4"/>
      <c r="D27" s="4"/>
      <c r="E27" s="4"/>
      <c r="F27" s="4"/>
      <c r="G27" s="4"/>
      <c r="H27" s="4"/>
      <c r="I27" s="4"/>
      <c r="J27" s="4"/>
      <c r="K27" s="4"/>
      <c r="L27" s="4"/>
      <c r="M27" s="1402">
        <f>'Basis &amp; Credits'!AB78</f>
        <v>0</v>
      </c>
      <c r="N27" s="1402"/>
      <c r="O27" s="1402"/>
      <c r="P27" s="1402"/>
      <c r="Q27" s="1402"/>
      <c r="R27" s="3" t="s">
        <v>1266</v>
      </c>
      <c r="S27" s="4"/>
      <c r="T27" s="4"/>
      <c r="U27" s="4"/>
      <c r="V27" s="4"/>
      <c r="W27" s="4"/>
      <c r="X27" s="4"/>
      <c r="Y27" s="4"/>
      <c r="Z27" s="4"/>
      <c r="AF27" s="4"/>
      <c r="AG27" s="4"/>
      <c r="AH27" s="4"/>
      <c r="AI27" s="4"/>
      <c r="AJ27" s="4"/>
      <c r="AK27" s="4"/>
      <c r="BD27" s="1247" t="s">
        <v>2098</v>
      </c>
      <c r="BE27" s="1249" t="b">
        <f>Application!M355="Yes"</f>
        <v>1</v>
      </c>
    </row>
    <row r="28" spans="1:58"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2526</v>
      </c>
      <c r="BE28" s="1249" t="b">
        <f>Application!M357="Yes"</f>
        <v>0</v>
      </c>
    </row>
    <row r="29" spans="1:58" ht="12.95" customHeight="1">
      <c r="A29" s="1459" t="s">
        <v>2147</v>
      </c>
      <c r="B29" s="1459"/>
      <c r="C29" s="1459"/>
      <c r="D29" s="1459"/>
      <c r="E29" s="1459"/>
      <c r="F29" s="1459"/>
      <c r="G29" s="1459"/>
      <c r="H29" s="1459"/>
      <c r="I29" s="1459"/>
      <c r="J29" s="1459"/>
      <c r="K29" s="1459"/>
      <c r="L29" s="1459"/>
      <c r="M29" s="1459"/>
      <c r="N29" s="1459"/>
      <c r="O29" s="1459"/>
      <c r="P29" s="1459"/>
      <c r="Q29" s="1459"/>
      <c r="R29" s="1459"/>
      <c r="S29" s="1459"/>
      <c r="T29" s="1459"/>
      <c r="U29" s="1459"/>
      <c r="V29" s="1459"/>
      <c r="W29" s="1459"/>
      <c r="X29" s="1459"/>
      <c r="Y29" s="1459"/>
      <c r="Z29" s="1459"/>
      <c r="AA29" s="1459"/>
      <c r="AB29" s="1459"/>
      <c r="AC29" s="1459"/>
      <c r="AD29" s="1459"/>
      <c r="AE29" s="1459"/>
      <c r="AF29" s="1459"/>
      <c r="AG29" s="1459"/>
      <c r="AH29" s="1459"/>
      <c r="AI29" s="1459"/>
      <c r="AJ29" s="1459"/>
      <c r="AK29" s="1459"/>
      <c r="AL29" s="1459"/>
      <c r="AM29" s="1459"/>
      <c r="AN29" s="1459"/>
      <c r="AO29" s="1459"/>
      <c r="AP29" s="1459"/>
      <c r="AQ29" s="1459"/>
      <c r="AR29" s="1459"/>
      <c r="AS29" s="1459"/>
      <c r="AT29" s="1459"/>
      <c r="BD29" s="1247" t="s">
        <v>2527</v>
      </c>
      <c r="BE29" s="1249" t="b">
        <f>Application!M358="Yes"</f>
        <v>0</v>
      </c>
    </row>
    <row r="30" spans="1:58" ht="12.95" customHeight="1">
      <c r="A30" s="1459"/>
      <c r="B30" s="1459"/>
      <c r="C30" s="1459"/>
      <c r="D30" s="1459"/>
      <c r="E30" s="1459"/>
      <c r="F30" s="1459"/>
      <c r="G30" s="1459"/>
      <c r="H30" s="1459"/>
      <c r="I30" s="1459"/>
      <c r="J30" s="1459"/>
      <c r="K30" s="1459"/>
      <c r="L30" s="1459"/>
      <c r="M30" s="1459"/>
      <c r="N30" s="1459"/>
      <c r="O30" s="1459"/>
      <c r="P30" s="1459"/>
      <c r="Q30" s="1459"/>
      <c r="R30" s="1459"/>
      <c r="S30" s="1459"/>
      <c r="T30" s="1459"/>
      <c r="U30" s="1459"/>
      <c r="V30" s="1459"/>
      <c r="W30" s="1459"/>
      <c r="X30" s="1459"/>
      <c r="Y30" s="1459"/>
      <c r="Z30" s="1459"/>
      <c r="AA30" s="1459"/>
      <c r="AB30" s="1459"/>
      <c r="AC30" s="1459"/>
      <c r="AD30" s="1459"/>
      <c r="AE30" s="1459"/>
      <c r="AF30" s="1459"/>
      <c r="AG30" s="1459"/>
      <c r="AH30" s="1459"/>
      <c r="AI30" s="1459"/>
      <c r="AJ30" s="1459"/>
      <c r="AK30" s="1459"/>
      <c r="AL30" s="1459"/>
      <c r="AM30" s="1459"/>
      <c r="AN30" s="1459"/>
      <c r="AO30" s="1459"/>
      <c r="AP30" s="1459"/>
      <c r="AQ30" s="1459"/>
      <c r="AR30" s="1459"/>
      <c r="AS30" s="1459"/>
      <c r="AT30" s="1459"/>
      <c r="AZ30" s="20"/>
      <c r="BD30" s="1248" t="s">
        <v>28</v>
      </c>
      <c r="BE30" s="1249" t="b">
        <f>Application!AJ355="Yes"</f>
        <v>1</v>
      </c>
    </row>
    <row r="31" spans="1:58" ht="12.95" customHeight="1">
      <c r="A31" s="1459"/>
      <c r="B31" s="1459"/>
      <c r="C31" s="1459"/>
      <c r="D31" s="1459"/>
      <c r="E31" s="1459"/>
      <c r="F31" s="1459"/>
      <c r="G31" s="1459"/>
      <c r="H31" s="1459"/>
      <c r="I31" s="1459"/>
      <c r="J31" s="1459"/>
      <c r="K31" s="1459"/>
      <c r="L31" s="1459"/>
      <c r="M31" s="1459"/>
      <c r="N31" s="1459"/>
      <c r="O31" s="1459"/>
      <c r="P31" s="1459"/>
      <c r="Q31" s="1459"/>
      <c r="R31" s="1459"/>
      <c r="S31" s="1459"/>
      <c r="T31" s="1459"/>
      <c r="U31" s="1459"/>
      <c r="V31" s="1459"/>
      <c r="W31" s="1459"/>
      <c r="X31" s="1459"/>
      <c r="Y31" s="1459"/>
      <c r="Z31" s="1459"/>
      <c r="AA31" s="1459"/>
      <c r="AB31" s="1459"/>
      <c r="AC31" s="1459"/>
      <c r="AD31" s="1459"/>
      <c r="AE31" s="1459"/>
      <c r="AF31" s="1459"/>
      <c r="AG31" s="1459"/>
      <c r="AH31" s="1459"/>
      <c r="AI31" s="1459"/>
      <c r="AJ31" s="1459"/>
      <c r="AK31" s="1459"/>
      <c r="AL31" s="1459"/>
      <c r="AM31" s="1459"/>
      <c r="AN31" s="1459"/>
      <c r="AO31" s="1459"/>
      <c r="AP31" s="1459"/>
      <c r="AQ31" s="1459"/>
      <c r="AR31" s="1459"/>
      <c r="AS31" s="1459"/>
      <c r="AT31" s="1459"/>
      <c r="AU31" s="20"/>
      <c r="AV31" s="20"/>
      <c r="AW31" s="20"/>
      <c r="AX31" s="20"/>
      <c r="AY31" s="20"/>
      <c r="AZ31" s="20"/>
      <c r="BD31" s="1247" t="s">
        <v>2528</v>
      </c>
      <c r="BE31" s="1249" t="str">
        <f>Application!D211</f>
        <v>Non-Targeted</v>
      </c>
    </row>
    <row r="32" spans="1:58"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2529</v>
      </c>
      <c r="BE32" s="1249">
        <f>IF(ISNUMBER(Application!W465),W465,0)</f>
        <v>0</v>
      </c>
    </row>
    <row r="33" spans="1:57" ht="12.95" customHeight="1">
      <c r="A33" s="519" t="s">
        <v>1277</v>
      </c>
      <c r="C33" s="519"/>
      <c r="D33" s="519"/>
      <c r="E33" s="519"/>
      <c r="F33" s="519"/>
      <c r="G33" s="519"/>
      <c r="H33" s="519"/>
      <c r="I33" s="519"/>
      <c r="J33" s="519"/>
      <c r="K33" s="519"/>
      <c r="L33" s="519"/>
      <c r="M33" s="519"/>
      <c r="N33" s="519"/>
      <c r="O33" s="1379" t="s">
        <v>669</v>
      </c>
      <c r="P33" s="1379"/>
      <c r="Q33" s="1460" t="s">
        <v>2148</v>
      </c>
      <c r="R33" s="1460"/>
      <c r="S33" s="1460"/>
      <c r="T33" s="1460"/>
      <c r="U33" s="1460"/>
      <c r="V33" s="1460"/>
      <c r="W33" s="1460"/>
      <c r="X33" s="1460"/>
      <c r="Y33" s="1460"/>
      <c r="Z33" s="1460"/>
      <c r="AA33" s="1460"/>
      <c r="AB33" s="1460"/>
      <c r="AC33" s="1460"/>
      <c r="AD33" s="1460"/>
      <c r="AE33" s="1460"/>
      <c r="AF33" s="1460"/>
      <c r="AG33" s="1460"/>
      <c r="AH33" s="1460"/>
      <c r="AI33" s="1460"/>
      <c r="AJ33" s="1460"/>
      <c r="AK33" s="1460"/>
      <c r="AL33" s="1460"/>
      <c r="AM33" s="1460"/>
      <c r="AN33" s="1460"/>
      <c r="AO33" s="1460"/>
      <c r="AP33" s="1460"/>
      <c r="AQ33" s="1460"/>
      <c r="AR33" s="1460"/>
      <c r="AS33" s="1460"/>
      <c r="AT33" s="1460"/>
      <c r="AU33" s="20"/>
      <c r="AV33" s="20"/>
      <c r="AW33" s="20"/>
      <c r="AX33" s="20"/>
      <c r="AY33" s="20"/>
      <c r="BD33" s="1247" t="s">
        <v>2596</v>
      </c>
      <c r="BE33" s="1249" t="str">
        <f>Application!D220</f>
        <v>San Diego County</v>
      </c>
    </row>
    <row r="34" spans="1:57" ht="12.95" customHeight="1">
      <c r="A34" s="1459" t="s">
        <v>2149</v>
      </c>
      <c r="B34" s="1459"/>
      <c r="C34" s="1459"/>
      <c r="D34" s="1459"/>
      <c r="E34" s="1459"/>
      <c r="F34" s="1459"/>
      <c r="G34" s="1459"/>
      <c r="H34" s="1459"/>
      <c r="I34" s="1459"/>
      <c r="J34" s="1459"/>
      <c r="K34" s="1459"/>
      <c r="L34" s="1459"/>
      <c r="M34" s="1459"/>
      <c r="N34" s="1459"/>
      <c r="O34" s="1459"/>
      <c r="P34" s="1459"/>
      <c r="Q34" s="1459"/>
      <c r="R34" s="1459"/>
      <c r="S34" s="1459"/>
      <c r="T34" s="1459"/>
      <c r="U34" s="1459"/>
      <c r="V34" s="1459"/>
      <c r="W34" s="1459"/>
      <c r="X34" s="1459"/>
      <c r="Y34" s="1459"/>
      <c r="Z34" s="1459"/>
      <c r="AA34" s="1459"/>
      <c r="AB34" s="1459"/>
      <c r="AC34" s="1459"/>
      <c r="AD34" s="1459"/>
      <c r="AE34" s="1459"/>
      <c r="AF34" s="1459"/>
      <c r="AG34" s="1459"/>
      <c r="AH34" s="1459"/>
      <c r="AI34" s="1459"/>
      <c r="AJ34" s="1459"/>
      <c r="AK34" s="1459"/>
      <c r="AL34" s="1459"/>
      <c r="AM34" s="1459"/>
      <c r="AN34" s="1459"/>
      <c r="AO34" s="1459"/>
      <c r="AP34" s="1459"/>
      <c r="AQ34" s="1459"/>
      <c r="AR34" s="1459"/>
      <c r="AS34" s="1459"/>
      <c r="AT34" s="1459"/>
      <c r="AU34" s="20"/>
      <c r="AV34" s="20"/>
      <c r="AW34" s="20"/>
      <c r="AX34" s="20"/>
      <c r="AY34" s="20"/>
      <c r="AZ34" s="20"/>
      <c r="BD34" s="1248" t="s">
        <v>2530</v>
      </c>
      <c r="BE34" s="1249" t="str">
        <f>Application!I185</f>
        <v>3275-3295 Market St</v>
      </c>
    </row>
    <row r="35" spans="1:57" ht="12.95" customHeight="1">
      <c r="A35" s="1459"/>
      <c r="B35" s="1459"/>
      <c r="C35" s="1459"/>
      <c r="D35" s="1459"/>
      <c r="E35" s="1459"/>
      <c r="F35" s="1459"/>
      <c r="G35" s="1459"/>
      <c r="H35" s="1459"/>
      <c r="I35" s="1459"/>
      <c r="J35" s="1459"/>
      <c r="K35" s="1459"/>
      <c r="L35" s="1459"/>
      <c r="M35" s="1459"/>
      <c r="N35" s="1459"/>
      <c r="O35" s="1459"/>
      <c r="P35" s="1459"/>
      <c r="Q35" s="1459"/>
      <c r="R35" s="1459"/>
      <c r="S35" s="1459"/>
      <c r="T35" s="1459"/>
      <c r="U35" s="1459"/>
      <c r="V35" s="1459"/>
      <c r="W35" s="1459"/>
      <c r="X35" s="1459"/>
      <c r="Y35" s="1459"/>
      <c r="Z35" s="1459"/>
      <c r="AA35" s="1459"/>
      <c r="AB35" s="1459"/>
      <c r="AC35" s="1459"/>
      <c r="AD35" s="1459"/>
      <c r="AE35" s="1459"/>
      <c r="AF35" s="1459"/>
      <c r="AG35" s="1459"/>
      <c r="AH35" s="1459"/>
      <c r="AI35" s="1459"/>
      <c r="AJ35" s="1459"/>
      <c r="AK35" s="1459"/>
      <c r="AL35" s="1459"/>
      <c r="AM35" s="1459"/>
      <c r="AN35" s="1459"/>
      <c r="AO35" s="1459"/>
      <c r="AP35" s="1459"/>
      <c r="AQ35" s="1459"/>
      <c r="AR35" s="1459"/>
      <c r="AS35" s="1459"/>
      <c r="AT35" s="1459"/>
      <c r="AU35" s="20"/>
      <c r="AV35" s="20"/>
      <c r="AW35" s="20"/>
      <c r="AX35" s="20"/>
      <c r="AY35" s="20"/>
      <c r="AZ35" s="20"/>
      <c r="BD35" s="1247" t="s">
        <v>2531</v>
      </c>
      <c r="BE35" s="1249" t="str">
        <f>IF(Application!E187="","",Application!E187)</f>
        <v/>
      </c>
    </row>
    <row r="36" spans="1:57" ht="12.95" customHeight="1">
      <c r="A36" s="1459"/>
      <c r="B36" s="1459"/>
      <c r="C36" s="1459"/>
      <c r="D36" s="1459"/>
      <c r="E36" s="1459"/>
      <c r="F36" s="1459"/>
      <c r="G36" s="1459"/>
      <c r="H36" s="1459"/>
      <c r="I36" s="1459"/>
      <c r="J36" s="1459"/>
      <c r="K36" s="1459"/>
      <c r="L36" s="1459"/>
      <c r="M36" s="1459"/>
      <c r="N36" s="1459"/>
      <c r="O36" s="1459"/>
      <c r="P36" s="1459"/>
      <c r="Q36" s="1459"/>
      <c r="R36" s="1459"/>
      <c r="S36" s="1459"/>
      <c r="T36" s="1459"/>
      <c r="U36" s="1459"/>
      <c r="V36" s="1459"/>
      <c r="W36" s="1459"/>
      <c r="X36" s="1459"/>
      <c r="Y36" s="1459"/>
      <c r="Z36" s="1459"/>
      <c r="AA36" s="1459"/>
      <c r="AB36" s="1459"/>
      <c r="AC36" s="1459"/>
      <c r="AD36" s="1459"/>
      <c r="AE36" s="1459"/>
      <c r="AF36" s="1459"/>
      <c r="AG36" s="1459"/>
      <c r="AH36" s="1459"/>
      <c r="AI36" s="1459"/>
      <c r="AJ36" s="1459"/>
      <c r="AK36" s="1459"/>
      <c r="AL36" s="1459"/>
      <c r="AM36" s="1459"/>
      <c r="AN36" s="1459"/>
      <c r="AO36" s="1459"/>
      <c r="AP36" s="1459"/>
      <c r="AQ36" s="1459"/>
      <c r="AR36" s="1459"/>
      <c r="AS36" s="1459"/>
      <c r="AT36" s="1459"/>
      <c r="AU36" s="20"/>
      <c r="AV36" s="20"/>
      <c r="AW36" s="20"/>
      <c r="AX36" s="20"/>
      <c r="AY36" s="20"/>
      <c r="AZ36" s="20"/>
      <c r="BD36" s="1248" t="s">
        <v>2532</v>
      </c>
      <c r="BE36" s="1249" t="str">
        <f>Application!I189</f>
        <v>San Diego</v>
      </c>
    </row>
    <row r="37" spans="1:57" ht="12.95" customHeight="1">
      <c r="A37" s="1459"/>
      <c r="B37" s="1459"/>
      <c r="C37" s="1459"/>
      <c r="D37" s="1459"/>
      <c r="E37" s="1459"/>
      <c r="F37" s="1459"/>
      <c r="G37" s="1459"/>
      <c r="H37" s="1459"/>
      <c r="I37" s="1459"/>
      <c r="J37" s="1459"/>
      <c r="K37" s="1459"/>
      <c r="L37" s="1459"/>
      <c r="M37" s="1459"/>
      <c r="N37" s="1459"/>
      <c r="O37" s="1459"/>
      <c r="P37" s="1459"/>
      <c r="Q37" s="1459"/>
      <c r="R37" s="1459"/>
      <c r="S37" s="1459"/>
      <c r="T37" s="1459"/>
      <c r="U37" s="1459"/>
      <c r="V37" s="1459"/>
      <c r="W37" s="1459"/>
      <c r="X37" s="1459"/>
      <c r="Y37" s="1459"/>
      <c r="Z37" s="1459"/>
      <c r="AA37" s="1459"/>
      <c r="AB37" s="1459"/>
      <c r="AC37" s="1459"/>
      <c r="AD37" s="1459"/>
      <c r="AE37" s="1459"/>
      <c r="AF37" s="1459"/>
      <c r="AG37" s="1459"/>
      <c r="AH37" s="1459"/>
      <c r="AI37" s="1459"/>
      <c r="AJ37" s="1459"/>
      <c r="AK37" s="1459"/>
      <c r="AL37" s="1459"/>
      <c r="AM37" s="1459"/>
      <c r="AN37" s="1459"/>
      <c r="AO37" s="1459"/>
      <c r="AP37" s="1459"/>
      <c r="AQ37" s="1459"/>
      <c r="AR37" s="1459"/>
      <c r="AS37" s="1459"/>
      <c r="AT37" s="1459"/>
      <c r="AZ37" s="20"/>
      <c r="BD37" s="1247" t="s">
        <v>2533</v>
      </c>
      <c r="BE37" s="1249" t="str">
        <f>Application!T189</f>
        <v>San Diego</v>
      </c>
    </row>
    <row r="38" spans="1:57" ht="12.95" customHeight="1">
      <c r="A38" s="3"/>
      <c r="AZ38" s="20"/>
      <c r="BD38" s="1248" t="s">
        <v>2534</v>
      </c>
      <c r="BE38" s="1249">
        <f>Application!I190</f>
        <v>92102</v>
      </c>
    </row>
    <row r="39" spans="1:57" ht="12.95" customHeight="1">
      <c r="A39" s="1263" t="s">
        <v>2150</v>
      </c>
      <c r="B39" s="1263"/>
      <c r="C39" s="1263"/>
      <c r="D39" s="1263"/>
      <c r="E39" s="1263"/>
      <c r="F39" s="1263"/>
      <c r="G39" s="1263"/>
      <c r="H39" s="1263"/>
      <c r="I39" s="1263"/>
      <c r="J39" s="1263"/>
      <c r="K39" s="1263"/>
      <c r="L39" s="1263"/>
      <c r="M39" s="1263"/>
      <c r="N39" s="1263"/>
      <c r="O39" s="1263"/>
      <c r="P39" s="1263"/>
      <c r="Q39" s="1263"/>
      <c r="R39" s="1263"/>
      <c r="S39" s="1263"/>
      <c r="T39" s="1263"/>
      <c r="U39" s="1263"/>
      <c r="V39" s="1263"/>
      <c r="W39" s="1263"/>
      <c r="X39" s="1263"/>
      <c r="Y39" s="1263"/>
      <c r="Z39" s="1263"/>
      <c r="AA39" s="1263"/>
      <c r="AB39" s="1263"/>
      <c r="AC39" s="1263"/>
      <c r="AD39" s="1263"/>
      <c r="AE39" s="1263"/>
      <c r="AF39" s="1263"/>
      <c r="AG39" s="1263"/>
      <c r="AH39" s="1263"/>
      <c r="AI39" s="1263"/>
      <c r="AJ39" s="1263"/>
      <c r="AK39" s="1263"/>
      <c r="AL39" s="1263"/>
      <c r="AM39" s="1263"/>
      <c r="AN39" s="1263"/>
      <c r="AO39" s="1263"/>
      <c r="AP39" s="1263"/>
      <c r="AQ39" s="1263"/>
      <c r="AR39" s="1263"/>
      <c r="AS39" s="1263"/>
      <c r="AT39" s="1263"/>
      <c r="AZ39" s="20"/>
      <c r="BD39" s="1247" t="s">
        <v>2535</v>
      </c>
      <c r="BE39" s="1249">
        <f>Application!AG437</f>
        <v>272</v>
      </c>
    </row>
    <row r="40" spans="1:57" ht="12.95" customHeight="1">
      <c r="A40" s="1263"/>
      <c r="B40" s="1263"/>
      <c r="C40" s="1263"/>
      <c r="D40" s="1263"/>
      <c r="E40" s="1263"/>
      <c r="F40" s="1263"/>
      <c r="G40" s="1263"/>
      <c r="H40" s="1263"/>
      <c r="I40" s="1263"/>
      <c r="J40" s="1263"/>
      <c r="K40" s="1263"/>
      <c r="L40" s="1263"/>
      <c r="M40" s="1263"/>
      <c r="N40" s="1263"/>
      <c r="O40" s="1263"/>
      <c r="P40" s="1263"/>
      <c r="Q40" s="1263"/>
      <c r="R40" s="1263"/>
      <c r="S40" s="1263"/>
      <c r="T40" s="1263"/>
      <c r="U40" s="1263"/>
      <c r="V40" s="1263"/>
      <c r="W40" s="1263"/>
      <c r="X40" s="1263"/>
      <c r="Y40" s="1263"/>
      <c r="Z40" s="1263"/>
      <c r="AA40" s="1263"/>
      <c r="AB40" s="1263"/>
      <c r="AC40" s="1263"/>
      <c r="AD40" s="1263"/>
      <c r="AE40" s="1263"/>
      <c r="AF40" s="1263"/>
      <c r="AG40" s="1263"/>
      <c r="AH40" s="1263"/>
      <c r="AI40" s="1263"/>
      <c r="AJ40" s="1263"/>
      <c r="AK40" s="1263"/>
      <c r="AL40" s="1263"/>
      <c r="AM40" s="1263"/>
      <c r="AN40" s="1263"/>
      <c r="AO40" s="1263"/>
      <c r="AP40" s="1263"/>
      <c r="AQ40" s="1263"/>
      <c r="AR40" s="1263"/>
      <c r="AS40" s="1263"/>
      <c r="AT40" s="1263"/>
      <c r="AU40" s="20"/>
      <c r="AV40" s="20"/>
      <c r="AW40" s="20"/>
      <c r="AX40" s="20"/>
      <c r="AY40" s="20"/>
      <c r="AZ40" s="20"/>
      <c r="BD40" s="1248" t="s">
        <v>383</v>
      </c>
      <c r="BE40" s="1249">
        <f>Application!AG440</f>
        <v>269</v>
      </c>
    </row>
    <row r="41" spans="1:57" ht="12.95" customHeight="1">
      <c r="A41" s="1263"/>
      <c r="B41" s="1263"/>
      <c r="C41" s="1263"/>
      <c r="D41" s="1263"/>
      <c r="E41" s="1263"/>
      <c r="F41" s="1263"/>
      <c r="G41" s="1263"/>
      <c r="H41" s="1263"/>
      <c r="I41" s="1263"/>
      <c r="J41" s="1263"/>
      <c r="K41" s="1263"/>
      <c r="L41" s="1263"/>
      <c r="M41" s="1263"/>
      <c r="N41" s="1263"/>
      <c r="O41" s="1263"/>
      <c r="P41" s="1263"/>
      <c r="Q41" s="1263"/>
      <c r="R41" s="1263"/>
      <c r="S41" s="1263"/>
      <c r="T41" s="1263"/>
      <c r="U41" s="1263"/>
      <c r="V41" s="1263"/>
      <c r="W41" s="1263"/>
      <c r="X41" s="1263"/>
      <c r="Y41" s="1263"/>
      <c r="Z41" s="1263"/>
      <c r="AA41" s="1263"/>
      <c r="AB41" s="1263"/>
      <c r="AC41" s="1263"/>
      <c r="AD41" s="1263"/>
      <c r="AE41" s="1263"/>
      <c r="AF41" s="1263"/>
      <c r="AG41" s="1263"/>
      <c r="AH41" s="1263"/>
      <c r="AI41" s="1263"/>
      <c r="AJ41" s="1263"/>
      <c r="AK41" s="1263"/>
      <c r="AL41" s="1263"/>
      <c r="AM41" s="1263"/>
      <c r="AN41" s="1263"/>
      <c r="AO41" s="1263"/>
      <c r="AP41" s="1263"/>
      <c r="AQ41" s="1263"/>
      <c r="AR41" s="1263"/>
      <c r="AS41" s="1263"/>
      <c r="AT41" s="1263"/>
      <c r="AU41" s="20"/>
      <c r="AV41" s="20"/>
      <c r="AW41" s="20"/>
      <c r="AX41" s="20"/>
      <c r="AY41" s="20"/>
      <c r="AZ41" s="20"/>
      <c r="BD41" s="1247" t="s">
        <v>286</v>
      </c>
      <c r="BE41" s="1249">
        <f>Application!AG438</f>
        <v>0</v>
      </c>
    </row>
    <row r="42" spans="1:57" ht="12.95" customHeight="1">
      <c r="A42" s="1263"/>
      <c r="B42" s="1263"/>
      <c r="C42" s="1263"/>
      <c r="D42" s="1263"/>
      <c r="E42" s="1263"/>
      <c r="F42" s="1263"/>
      <c r="G42" s="1263"/>
      <c r="H42" s="1263"/>
      <c r="I42" s="1263"/>
      <c r="J42" s="1263"/>
      <c r="K42" s="1263"/>
      <c r="L42" s="1263"/>
      <c r="M42" s="1263"/>
      <c r="N42" s="1263"/>
      <c r="O42" s="1263"/>
      <c r="P42" s="1263"/>
      <c r="Q42" s="1263"/>
      <c r="R42" s="1263"/>
      <c r="S42" s="1263"/>
      <c r="T42" s="1263"/>
      <c r="U42" s="1263"/>
      <c r="V42" s="1263"/>
      <c r="W42" s="1263"/>
      <c r="X42" s="1263"/>
      <c r="Y42" s="1263"/>
      <c r="Z42" s="1263"/>
      <c r="AA42" s="1263"/>
      <c r="AB42" s="1263"/>
      <c r="AC42" s="1263"/>
      <c r="AD42" s="1263"/>
      <c r="AE42" s="1263"/>
      <c r="AF42" s="1263"/>
      <c r="AG42" s="1263"/>
      <c r="AH42" s="1263"/>
      <c r="AI42" s="1263"/>
      <c r="AJ42" s="1263"/>
      <c r="AK42" s="1263"/>
      <c r="AL42" s="1263"/>
      <c r="AM42" s="1263"/>
      <c r="AN42" s="1263"/>
      <c r="AO42" s="1263"/>
      <c r="AP42" s="1263"/>
      <c r="AQ42" s="1263"/>
      <c r="AR42" s="1263"/>
      <c r="AS42" s="1263"/>
      <c r="AT42" s="1263"/>
      <c r="AZ42" s="20"/>
      <c r="BD42" s="1248" t="s">
        <v>2536</v>
      </c>
      <c r="BE42" s="1251">
        <f>Application!AC753</f>
        <v>0.58141263940520438</v>
      </c>
    </row>
    <row r="43" spans="1:57" ht="12.95" customHeight="1">
      <c r="A43" s="1263"/>
      <c r="B43" s="1263"/>
      <c r="C43" s="1263"/>
      <c r="D43" s="1263"/>
      <c r="E43" s="1263"/>
      <c r="F43" s="1263"/>
      <c r="G43" s="1263"/>
      <c r="H43" s="1263"/>
      <c r="I43" s="1263"/>
      <c r="J43" s="1263"/>
      <c r="K43" s="1263"/>
      <c r="L43" s="1263"/>
      <c r="M43" s="1263"/>
      <c r="N43" s="1263"/>
      <c r="O43" s="1263"/>
      <c r="P43" s="1263"/>
      <c r="Q43" s="1263"/>
      <c r="R43" s="1263"/>
      <c r="S43" s="1263"/>
      <c r="T43" s="1263"/>
      <c r="U43" s="1263"/>
      <c r="V43" s="1263"/>
      <c r="W43" s="1263"/>
      <c r="X43" s="1263"/>
      <c r="Y43" s="1263"/>
      <c r="Z43" s="1263"/>
      <c r="AA43" s="1263"/>
      <c r="AB43" s="1263"/>
      <c r="AC43" s="1263"/>
      <c r="AD43" s="1263"/>
      <c r="AE43" s="1263"/>
      <c r="AF43" s="1263"/>
      <c r="AG43" s="1263"/>
      <c r="AH43" s="1263"/>
      <c r="AI43" s="1263"/>
      <c r="AJ43" s="1263"/>
      <c r="AK43" s="1263"/>
      <c r="AL43" s="1263"/>
      <c r="AM43" s="1263"/>
      <c r="AN43" s="1263"/>
      <c r="AO43" s="1263"/>
      <c r="AP43" s="1263"/>
      <c r="AQ43" s="1263"/>
      <c r="AR43" s="1263"/>
      <c r="AS43" s="1263"/>
      <c r="AT43" s="1263"/>
      <c r="AU43" s="20"/>
      <c r="AV43" s="20"/>
      <c r="AW43" s="20"/>
      <c r="AX43" s="20"/>
      <c r="AY43" s="20"/>
      <c r="AZ43" s="20"/>
      <c r="BD43" s="1247" t="s">
        <v>2537</v>
      </c>
      <c r="BE43" s="1251">
        <f>Application!AH753</f>
        <v>0.58143170892214024</v>
      </c>
    </row>
    <row r="44" spans="1:57" ht="12.95" customHeight="1">
      <c r="A44" s="1263"/>
      <c r="B44" s="1263"/>
      <c r="C44" s="1263"/>
      <c r="D44" s="1263"/>
      <c r="E44" s="1263"/>
      <c r="F44" s="1263"/>
      <c r="G44" s="1263"/>
      <c r="H44" s="1263"/>
      <c r="I44" s="1263"/>
      <c r="J44" s="1263"/>
      <c r="K44" s="1263"/>
      <c r="L44" s="1263"/>
      <c r="M44" s="1263"/>
      <c r="N44" s="1263"/>
      <c r="O44" s="1263"/>
      <c r="P44" s="1263"/>
      <c r="Q44" s="1263"/>
      <c r="R44" s="1263"/>
      <c r="S44" s="1263"/>
      <c r="T44" s="1263"/>
      <c r="U44" s="1263"/>
      <c r="V44" s="1263"/>
      <c r="W44" s="1263"/>
      <c r="X44" s="1263"/>
      <c r="Y44" s="1263"/>
      <c r="Z44" s="1263"/>
      <c r="AA44" s="1263"/>
      <c r="AB44" s="1263"/>
      <c r="AC44" s="1263"/>
      <c r="AD44" s="1263"/>
      <c r="AE44" s="1263"/>
      <c r="AF44" s="1263"/>
      <c r="AG44" s="1263"/>
      <c r="AH44" s="1263"/>
      <c r="AI44" s="1263"/>
      <c r="AJ44" s="1263"/>
      <c r="AK44" s="1263"/>
      <c r="AL44" s="1263"/>
      <c r="AM44" s="1263"/>
      <c r="AN44" s="1263"/>
      <c r="AO44" s="1263"/>
      <c r="AP44" s="1263"/>
      <c r="AQ44" s="1263"/>
      <c r="AR44" s="1263"/>
      <c r="AS44" s="1263"/>
      <c r="AT44" s="1263"/>
      <c r="AU44" s="20"/>
      <c r="AV44" s="20"/>
      <c r="AW44" s="20"/>
      <c r="AX44" s="20"/>
      <c r="AY44" s="20"/>
      <c r="AZ44" s="20"/>
      <c r="BD44" s="1248" t="s">
        <v>2538</v>
      </c>
      <c r="BE44" s="1249">
        <f>Application!AC454</f>
        <v>332092.3713235294</v>
      </c>
    </row>
    <row r="45" spans="1:57" ht="12.95"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2539</v>
      </c>
      <c r="BE45" s="1249">
        <f>Application!AE424</f>
        <v>2</v>
      </c>
    </row>
    <row r="46" spans="1:57" ht="12.95" customHeight="1">
      <c r="A46" s="1293" t="s">
        <v>2151</v>
      </c>
      <c r="B46" s="1293"/>
      <c r="C46" s="1293"/>
      <c r="D46" s="1293"/>
      <c r="E46" s="1293"/>
      <c r="F46" s="1293"/>
      <c r="G46" s="1293"/>
      <c r="H46" s="1293"/>
      <c r="I46" s="1293"/>
      <c r="J46" s="1293"/>
      <c r="K46" s="1293"/>
      <c r="L46" s="1293"/>
      <c r="M46" s="1293"/>
      <c r="N46" s="1293"/>
      <c r="O46" s="1293"/>
      <c r="P46" s="1293"/>
      <c r="Q46" s="1293"/>
      <c r="R46" s="1293"/>
      <c r="S46" s="1293"/>
      <c r="T46" s="1293"/>
      <c r="U46" s="1293"/>
      <c r="V46" s="1293"/>
      <c r="W46" s="1293"/>
      <c r="X46" s="1293"/>
      <c r="Y46" s="1293"/>
      <c r="Z46" s="1293"/>
      <c r="AA46" s="1293"/>
      <c r="AB46" s="1293"/>
      <c r="AC46" s="1293"/>
      <c r="AD46" s="1293"/>
      <c r="AE46" s="1293"/>
      <c r="AF46" s="1293"/>
      <c r="AG46" s="1293"/>
      <c r="AH46" s="1293"/>
      <c r="AI46" s="1293"/>
      <c r="AJ46" s="1293"/>
      <c r="AK46" s="1293"/>
      <c r="AL46" s="1293"/>
      <c r="AM46" s="1293"/>
      <c r="AN46" s="1293"/>
      <c r="AO46" s="1293"/>
      <c r="AP46" s="1293"/>
      <c r="AQ46" s="1293"/>
      <c r="AR46" s="1293"/>
      <c r="AS46" s="1293"/>
      <c r="AT46" s="1293"/>
      <c r="AU46" s="20"/>
      <c r="AV46" s="20"/>
      <c r="AW46" s="20"/>
      <c r="AX46" s="20"/>
      <c r="AY46" s="20"/>
      <c r="AZ46" s="20"/>
      <c r="BD46" s="1248" t="s">
        <v>2540</v>
      </c>
      <c r="BE46" s="1249" t="b">
        <f>Application!T195="Yes"</f>
        <v>0</v>
      </c>
    </row>
    <row r="47" spans="1:57" ht="12.95" customHeight="1">
      <c r="A47" s="1293"/>
      <c r="B47" s="1293"/>
      <c r="C47" s="1293"/>
      <c r="D47" s="1293"/>
      <c r="E47" s="1293"/>
      <c r="F47" s="1293"/>
      <c r="G47" s="1293"/>
      <c r="H47" s="1293"/>
      <c r="I47" s="1293"/>
      <c r="J47" s="1293"/>
      <c r="K47" s="1293"/>
      <c r="L47" s="1293"/>
      <c r="M47" s="1293"/>
      <c r="N47" s="1293"/>
      <c r="O47" s="1293"/>
      <c r="P47" s="1293"/>
      <c r="Q47" s="1293"/>
      <c r="R47" s="1293"/>
      <c r="S47" s="1293"/>
      <c r="T47" s="1293"/>
      <c r="U47" s="1293"/>
      <c r="V47" s="1293"/>
      <c r="W47" s="1293"/>
      <c r="X47" s="1293"/>
      <c r="Y47" s="1293"/>
      <c r="Z47" s="1293"/>
      <c r="AA47" s="1293"/>
      <c r="AB47" s="1293"/>
      <c r="AC47" s="1293"/>
      <c r="AD47" s="1293"/>
      <c r="AE47" s="1293"/>
      <c r="AF47" s="1293"/>
      <c r="AG47" s="1293"/>
      <c r="AH47" s="1293"/>
      <c r="AI47" s="1293"/>
      <c r="AJ47" s="1293"/>
      <c r="AK47" s="1293"/>
      <c r="AL47" s="1293"/>
      <c r="AM47" s="1293"/>
      <c r="AN47" s="1293"/>
      <c r="AO47" s="1293"/>
      <c r="AP47" s="1293"/>
      <c r="AQ47" s="1293"/>
      <c r="AR47" s="1293"/>
      <c r="AS47" s="1293"/>
      <c r="AT47" s="1293"/>
      <c r="AU47" s="20"/>
      <c r="AV47" s="20"/>
      <c r="AW47" s="20"/>
      <c r="AX47" s="20"/>
      <c r="AY47" s="20"/>
      <c r="AZ47" s="20"/>
      <c r="BD47" s="1247" t="s">
        <v>2541</v>
      </c>
      <c r="BE47" s="1249" t="b">
        <f>Application!T196="Yes"</f>
        <v>1</v>
      </c>
    </row>
    <row r="48" spans="1:57" ht="12.95" customHeight="1">
      <c r="A48" s="1293"/>
      <c r="B48" s="1293"/>
      <c r="C48" s="1293"/>
      <c r="D48" s="1293"/>
      <c r="E48" s="1293"/>
      <c r="F48" s="1293"/>
      <c r="G48" s="1293"/>
      <c r="H48" s="1293"/>
      <c r="I48" s="1293"/>
      <c r="J48" s="1293"/>
      <c r="K48" s="1293"/>
      <c r="L48" s="1293"/>
      <c r="M48" s="1293"/>
      <c r="N48" s="1293"/>
      <c r="O48" s="1293"/>
      <c r="P48" s="1293"/>
      <c r="Q48" s="1293"/>
      <c r="R48" s="1293"/>
      <c r="S48" s="1293"/>
      <c r="T48" s="1293"/>
      <c r="U48" s="1293"/>
      <c r="V48" s="1293"/>
      <c r="W48" s="1293"/>
      <c r="X48" s="1293"/>
      <c r="Y48" s="1293"/>
      <c r="Z48" s="1293"/>
      <c r="AA48" s="1293"/>
      <c r="AB48" s="1293"/>
      <c r="AC48" s="1293"/>
      <c r="AD48" s="1293"/>
      <c r="AE48" s="1293"/>
      <c r="AF48" s="1293"/>
      <c r="AG48" s="1293"/>
      <c r="AH48" s="1293"/>
      <c r="AI48" s="1293"/>
      <c r="AJ48" s="1293"/>
      <c r="AK48" s="1293"/>
      <c r="AL48" s="1293"/>
      <c r="AM48" s="1293"/>
      <c r="AN48" s="1293"/>
      <c r="AO48" s="1293"/>
      <c r="AP48" s="1293"/>
      <c r="AQ48" s="1293"/>
      <c r="AR48" s="1293"/>
      <c r="AS48" s="1293"/>
      <c r="AT48" s="1293"/>
      <c r="AU48" s="20"/>
      <c r="AV48" s="20"/>
      <c r="AW48" s="20"/>
      <c r="AX48" s="20"/>
      <c r="AY48" s="20"/>
      <c r="AZ48" s="20"/>
      <c r="BD48" s="1248" t="s">
        <v>2542</v>
      </c>
      <c r="BE48" s="1249" t="str">
        <f>Application!M243</f>
        <v>Market 2 AGP LLC</v>
      </c>
    </row>
    <row r="49" spans="1:57" ht="12.95" customHeight="1">
      <c r="A49" s="1293"/>
      <c r="B49" s="1293"/>
      <c r="C49" s="1293"/>
      <c r="D49" s="1293"/>
      <c r="E49" s="1293"/>
      <c r="F49" s="1293"/>
      <c r="G49" s="1293"/>
      <c r="H49" s="1293"/>
      <c r="I49" s="1293"/>
      <c r="J49" s="1293"/>
      <c r="K49" s="1293"/>
      <c r="L49" s="1293"/>
      <c r="M49" s="1293"/>
      <c r="N49" s="1293"/>
      <c r="O49" s="1293"/>
      <c r="P49" s="1293"/>
      <c r="Q49" s="1293"/>
      <c r="R49" s="1293"/>
      <c r="S49" s="1293"/>
      <c r="T49" s="1293"/>
      <c r="U49" s="1293"/>
      <c r="V49" s="1293"/>
      <c r="W49" s="1293"/>
      <c r="X49" s="1293"/>
      <c r="Y49" s="1293"/>
      <c r="Z49" s="1293"/>
      <c r="AA49" s="1293"/>
      <c r="AB49" s="1293"/>
      <c r="AC49" s="1293"/>
      <c r="AD49" s="1293"/>
      <c r="AE49" s="1293"/>
      <c r="AF49" s="1293"/>
      <c r="AG49" s="1293"/>
      <c r="AH49" s="1293"/>
      <c r="AI49" s="1293"/>
      <c r="AJ49" s="1293"/>
      <c r="AK49" s="1293"/>
      <c r="AL49" s="1293"/>
      <c r="AM49" s="1293"/>
      <c r="AN49" s="1293"/>
      <c r="AO49" s="1293"/>
      <c r="AP49" s="1293"/>
      <c r="AQ49" s="1293"/>
      <c r="AR49" s="1293"/>
      <c r="AS49" s="1293"/>
      <c r="AT49" s="1293"/>
      <c r="AU49" s="20"/>
      <c r="AV49" s="20"/>
      <c r="AW49" s="20"/>
      <c r="AX49" s="20"/>
      <c r="AY49" s="20"/>
      <c r="AZ49" s="20"/>
      <c r="BD49" s="1247" t="s">
        <v>2543</v>
      </c>
      <c r="BE49" s="1249" t="str">
        <f>Application!M246</f>
        <v>Sydne Garchik</v>
      </c>
    </row>
    <row r="50" spans="1:57" ht="12.95"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2544</v>
      </c>
      <c r="BE50" s="1249" t="str">
        <f>Application!AA249</f>
        <v xml:space="preserve">MRK Partners, Inc. </v>
      </c>
    </row>
    <row r="51" spans="1:57" ht="12.95" customHeight="1">
      <c r="A51" s="1263" t="s">
        <v>2152</v>
      </c>
      <c r="B51" s="1263"/>
      <c r="C51" s="1263"/>
      <c r="D51" s="1263"/>
      <c r="E51" s="1263"/>
      <c r="F51" s="1263"/>
      <c r="G51" s="1263"/>
      <c r="H51" s="1263"/>
      <c r="I51" s="1263"/>
      <c r="J51" s="1263"/>
      <c r="K51" s="1263"/>
      <c r="L51" s="1263"/>
      <c r="M51" s="1263"/>
      <c r="N51" s="1263"/>
      <c r="O51" s="1263"/>
      <c r="P51" s="1263"/>
      <c r="Q51" s="1263"/>
      <c r="R51" s="1263"/>
      <c r="S51" s="1263"/>
      <c r="T51" s="1263"/>
      <c r="U51" s="1263"/>
      <c r="V51" s="1263"/>
      <c r="W51" s="1263"/>
      <c r="X51" s="1263"/>
      <c r="Y51" s="1263"/>
      <c r="Z51" s="1263"/>
      <c r="AA51" s="1263"/>
      <c r="AB51" s="1263"/>
      <c r="AC51" s="1263"/>
      <c r="AD51" s="1263"/>
      <c r="AE51" s="1263"/>
      <c r="AF51" s="1263"/>
      <c r="AG51" s="1263"/>
      <c r="AH51" s="1263"/>
      <c r="AI51" s="1263"/>
      <c r="AJ51" s="1263"/>
      <c r="AK51" s="1263"/>
      <c r="AL51" s="1263"/>
      <c r="AM51" s="1263"/>
      <c r="AN51" s="1263"/>
      <c r="AO51" s="1263"/>
      <c r="AP51" s="1263"/>
      <c r="AQ51" s="1263"/>
      <c r="AR51" s="1263"/>
      <c r="AS51" s="1263"/>
      <c r="AT51" s="1263"/>
      <c r="AU51" s="20"/>
      <c r="AV51" s="20"/>
      <c r="AW51" s="20"/>
      <c r="AX51" s="20"/>
      <c r="AY51" s="20"/>
      <c r="AZ51" s="20"/>
      <c r="BD51" s="1247" t="s">
        <v>2545</v>
      </c>
      <c r="BE51" s="1249" t="str">
        <f>Application!M251</f>
        <v>Pacific Southwest Community Development Corporation, a California nonprofit public benefit corporation</v>
      </c>
    </row>
    <row r="52" spans="1:57" ht="12.95" customHeight="1">
      <c r="A52" s="1263"/>
      <c r="B52" s="1263"/>
      <c r="C52" s="1263"/>
      <c r="D52" s="1263"/>
      <c r="E52" s="1263"/>
      <c r="F52" s="1263"/>
      <c r="G52" s="1263"/>
      <c r="H52" s="1263"/>
      <c r="I52" s="1263"/>
      <c r="J52" s="1263"/>
      <c r="K52" s="1263"/>
      <c r="L52" s="1263"/>
      <c r="M52" s="1263"/>
      <c r="N52" s="1263"/>
      <c r="O52" s="1263"/>
      <c r="P52" s="1263"/>
      <c r="Q52" s="1263"/>
      <c r="R52" s="1263"/>
      <c r="S52" s="1263"/>
      <c r="T52" s="1263"/>
      <c r="U52" s="1263"/>
      <c r="V52" s="1263"/>
      <c r="W52" s="1263"/>
      <c r="X52" s="1263"/>
      <c r="Y52" s="1263"/>
      <c r="Z52" s="1263"/>
      <c r="AA52" s="1263"/>
      <c r="AB52" s="1263"/>
      <c r="AC52" s="1263"/>
      <c r="AD52" s="1263"/>
      <c r="AE52" s="1263"/>
      <c r="AF52" s="1263"/>
      <c r="AG52" s="1263"/>
      <c r="AH52" s="1263"/>
      <c r="AI52" s="1263"/>
      <c r="AJ52" s="1263"/>
      <c r="AK52" s="1263"/>
      <c r="AL52" s="1263"/>
      <c r="AM52" s="1263"/>
      <c r="AN52" s="1263"/>
      <c r="AO52" s="1263"/>
      <c r="AP52" s="1263"/>
      <c r="AQ52" s="1263"/>
      <c r="AR52" s="1263"/>
      <c r="AS52" s="1263"/>
      <c r="AT52" s="1263"/>
      <c r="AU52" s="20"/>
      <c r="AV52" s="20"/>
      <c r="AW52" s="20"/>
      <c r="AX52" s="20"/>
      <c r="AY52" s="20"/>
      <c r="AZ52" s="20"/>
      <c r="BD52" s="1248" t="s">
        <v>2546</v>
      </c>
      <c r="BE52" s="1249" t="str">
        <f>Application!M254</f>
        <v>Robert Laing</v>
      </c>
    </row>
    <row r="53" spans="1:57"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2547</v>
      </c>
      <c r="BE53" s="1249" t="str">
        <f>Application!AA257</f>
        <v>Pacific Southwest Community Development Corporation, a California nonprofit public benefit corporation</v>
      </c>
    </row>
    <row r="54" spans="1:57" ht="12.95" customHeight="1">
      <c r="A54" s="1263" t="s">
        <v>2153</v>
      </c>
      <c r="B54" s="1263"/>
      <c r="C54" s="1263"/>
      <c r="D54" s="1263"/>
      <c r="E54" s="1263"/>
      <c r="F54" s="1263"/>
      <c r="G54" s="1263"/>
      <c r="H54" s="1263"/>
      <c r="I54" s="1263"/>
      <c r="J54" s="1263"/>
      <c r="K54" s="1263"/>
      <c r="L54" s="1263"/>
      <c r="M54" s="1263"/>
      <c r="N54" s="1263"/>
      <c r="O54" s="1263"/>
      <c r="P54" s="1263"/>
      <c r="Q54" s="1263"/>
      <c r="R54" s="1263"/>
      <c r="S54" s="1263"/>
      <c r="T54" s="1263"/>
      <c r="U54" s="1263"/>
      <c r="V54" s="1263"/>
      <c r="W54" s="1263"/>
      <c r="X54" s="1263"/>
      <c r="Y54" s="1263"/>
      <c r="Z54" s="1263"/>
      <c r="AA54" s="1263"/>
      <c r="AB54" s="1263"/>
      <c r="AC54" s="1263"/>
      <c r="AD54" s="1263"/>
      <c r="AE54" s="1263"/>
      <c r="AF54" s="1263"/>
      <c r="AG54" s="1263"/>
      <c r="AH54" s="1263"/>
      <c r="AI54" s="1263"/>
      <c r="AJ54" s="1263"/>
      <c r="AK54" s="1263"/>
      <c r="AL54" s="1263"/>
      <c r="AM54" s="1263"/>
      <c r="AN54" s="1263"/>
      <c r="AO54" s="1263"/>
      <c r="AP54" s="1263"/>
      <c r="AQ54" s="1263"/>
      <c r="AR54" s="1263"/>
      <c r="AS54" s="1263"/>
      <c r="AT54" s="1263"/>
      <c r="AU54" s="20"/>
      <c r="AV54" s="20"/>
      <c r="AW54" s="20"/>
      <c r="AX54" s="20"/>
      <c r="AY54" s="20"/>
      <c r="AZ54" s="21"/>
      <c r="BD54" s="1248" t="s">
        <v>2548</v>
      </c>
      <c r="BE54" s="1249">
        <f>Application!M259</f>
        <v>0</v>
      </c>
    </row>
    <row r="55" spans="1:57" ht="12.95" customHeight="1">
      <c r="A55" s="1263"/>
      <c r="B55" s="1263"/>
      <c r="C55" s="1263"/>
      <c r="D55" s="1263"/>
      <c r="E55" s="1263"/>
      <c r="F55" s="1263"/>
      <c r="G55" s="1263"/>
      <c r="H55" s="1263"/>
      <c r="I55" s="1263"/>
      <c r="J55" s="1263"/>
      <c r="K55" s="1263"/>
      <c r="L55" s="1263"/>
      <c r="M55" s="1263"/>
      <c r="N55" s="1263"/>
      <c r="O55" s="1263"/>
      <c r="P55" s="1263"/>
      <c r="Q55" s="1263"/>
      <c r="R55" s="1263"/>
      <c r="S55" s="1263"/>
      <c r="T55" s="1263"/>
      <c r="U55" s="1263"/>
      <c r="V55" s="1263"/>
      <c r="W55" s="1263"/>
      <c r="X55" s="1263"/>
      <c r="Y55" s="1263"/>
      <c r="Z55" s="1263"/>
      <c r="AA55" s="1263"/>
      <c r="AB55" s="1263"/>
      <c r="AC55" s="1263"/>
      <c r="AD55" s="1263"/>
      <c r="AE55" s="1263"/>
      <c r="AF55" s="1263"/>
      <c r="AG55" s="1263"/>
      <c r="AH55" s="1263"/>
      <c r="AI55" s="1263"/>
      <c r="AJ55" s="1263"/>
      <c r="AK55" s="1263"/>
      <c r="AL55" s="1263"/>
      <c r="AM55" s="1263"/>
      <c r="AN55" s="1263"/>
      <c r="AO55" s="1263"/>
      <c r="AP55" s="1263"/>
      <c r="AQ55" s="1263"/>
      <c r="AR55" s="1263"/>
      <c r="AS55" s="1263"/>
      <c r="AT55" s="1263"/>
      <c r="AZ55" s="21"/>
      <c r="BD55" s="1247" t="s">
        <v>2549</v>
      </c>
      <c r="BE55" s="1249">
        <f>Application!M262</f>
        <v>0</v>
      </c>
    </row>
    <row r="56" spans="1:57" ht="12.95" customHeight="1">
      <c r="A56" s="1263"/>
      <c r="B56" s="1263"/>
      <c r="C56" s="1263"/>
      <c r="D56" s="1263"/>
      <c r="E56" s="1263"/>
      <c r="F56" s="1263"/>
      <c r="G56" s="1263"/>
      <c r="H56" s="1263"/>
      <c r="I56" s="1263"/>
      <c r="J56" s="1263"/>
      <c r="K56" s="1263"/>
      <c r="L56" s="1263"/>
      <c r="M56" s="1263"/>
      <c r="N56" s="1263"/>
      <c r="O56" s="1263"/>
      <c r="P56" s="1263"/>
      <c r="Q56" s="1263"/>
      <c r="R56" s="1263"/>
      <c r="S56" s="1263"/>
      <c r="T56" s="1263"/>
      <c r="U56" s="1263"/>
      <c r="V56" s="1263"/>
      <c r="W56" s="1263"/>
      <c r="X56" s="1263"/>
      <c r="Y56" s="1263"/>
      <c r="Z56" s="1263"/>
      <c r="AA56" s="1263"/>
      <c r="AB56" s="1263"/>
      <c r="AC56" s="1263"/>
      <c r="AD56" s="1263"/>
      <c r="AE56" s="1263"/>
      <c r="AF56" s="1263"/>
      <c r="AG56" s="1263"/>
      <c r="AH56" s="1263"/>
      <c r="AI56" s="1263"/>
      <c r="AJ56" s="1263"/>
      <c r="AK56" s="1263"/>
      <c r="AL56" s="1263"/>
      <c r="AM56" s="1263"/>
      <c r="AN56" s="1263"/>
      <c r="AO56" s="1263"/>
      <c r="AP56" s="1263"/>
      <c r="AQ56" s="1263"/>
      <c r="AR56" s="1263"/>
      <c r="AS56" s="1263"/>
      <c r="AT56" s="1263"/>
      <c r="BD56" s="1248" t="s">
        <v>2550</v>
      </c>
      <c r="BE56" s="1249">
        <f>Application!AA265</f>
        <v>0</v>
      </c>
    </row>
    <row r="57" spans="1:57" ht="12.95" customHeight="1">
      <c r="A57" s="1263"/>
      <c r="B57" s="1263"/>
      <c r="C57" s="1263"/>
      <c r="D57" s="1263"/>
      <c r="E57" s="1263"/>
      <c r="F57" s="1263"/>
      <c r="G57" s="1263"/>
      <c r="H57" s="1263"/>
      <c r="I57" s="1263"/>
      <c r="J57" s="1263"/>
      <c r="K57" s="1263"/>
      <c r="L57" s="1263"/>
      <c r="M57" s="1263"/>
      <c r="N57" s="1263"/>
      <c r="O57" s="1263"/>
      <c r="P57" s="1263"/>
      <c r="Q57" s="1263"/>
      <c r="R57" s="1263"/>
      <c r="S57" s="1263"/>
      <c r="T57" s="1263"/>
      <c r="U57" s="1263"/>
      <c r="V57" s="1263"/>
      <c r="W57" s="1263"/>
      <c r="X57" s="1263"/>
      <c r="Y57" s="1263"/>
      <c r="Z57" s="1263"/>
      <c r="AA57" s="1263"/>
      <c r="AB57" s="1263"/>
      <c r="AC57" s="1263"/>
      <c r="AD57" s="1263"/>
      <c r="AE57" s="1263"/>
      <c r="AF57" s="1263"/>
      <c r="AG57" s="1263"/>
      <c r="AH57" s="1263"/>
      <c r="AI57" s="1263"/>
      <c r="AJ57" s="1263"/>
      <c r="AK57" s="1263"/>
      <c r="AL57" s="1263"/>
      <c r="AM57" s="1263"/>
      <c r="AN57" s="1263"/>
      <c r="AO57" s="1263"/>
      <c r="AP57" s="1263"/>
      <c r="AQ57" s="1263"/>
      <c r="AR57" s="1263"/>
      <c r="AS57" s="1263"/>
      <c r="AT57" s="1263"/>
      <c r="BD57" s="1247" t="s">
        <v>2551</v>
      </c>
      <c r="BE57" s="1249" t="str">
        <f>Application!H287</f>
        <v>MRK Partners, Inc.</v>
      </c>
    </row>
    <row r="58" spans="1:57" ht="12.95" customHeight="1">
      <c r="A58" s="1263"/>
      <c r="B58" s="1263"/>
      <c r="C58" s="1263"/>
      <c r="D58" s="1263"/>
      <c r="E58" s="1263"/>
      <c r="F58" s="1263"/>
      <c r="G58" s="1263"/>
      <c r="H58" s="1263"/>
      <c r="I58" s="1263"/>
      <c r="J58" s="1263"/>
      <c r="K58" s="1263"/>
      <c r="L58" s="1263"/>
      <c r="M58" s="1263"/>
      <c r="N58" s="1263"/>
      <c r="O58" s="1263"/>
      <c r="P58" s="1263"/>
      <c r="Q58" s="1263"/>
      <c r="R58" s="1263"/>
      <c r="S58" s="1263"/>
      <c r="T58" s="1263"/>
      <c r="U58" s="1263"/>
      <c r="V58" s="1263"/>
      <c r="W58" s="1263"/>
      <c r="X58" s="1263"/>
      <c r="Y58" s="1263"/>
      <c r="Z58" s="1263"/>
      <c r="AA58" s="1263"/>
      <c r="AB58" s="1263"/>
      <c r="AC58" s="1263"/>
      <c r="AD58" s="1263"/>
      <c r="AE58" s="1263"/>
      <c r="AF58" s="1263"/>
      <c r="AG58" s="1263"/>
      <c r="AH58" s="1263"/>
      <c r="AI58" s="1263"/>
      <c r="AJ58" s="1263"/>
      <c r="AK58" s="1263"/>
      <c r="AL58" s="1263"/>
      <c r="AM58" s="1263"/>
      <c r="AN58" s="1263"/>
      <c r="AO58" s="1263"/>
      <c r="AP58" s="1263"/>
      <c r="AQ58" s="1263"/>
      <c r="AR58" s="1263"/>
      <c r="AS58" s="1263"/>
      <c r="AT58" s="1263"/>
      <c r="BD58" s="1248" t="s">
        <v>2552</v>
      </c>
      <c r="BE58" s="1249" t="str">
        <f>Application!H288</f>
        <v>5230 Pacific Concourse Drive, Suite 350</v>
      </c>
    </row>
    <row r="59" spans="1:57" ht="12.95"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2553</v>
      </c>
      <c r="BE59" s="1249" t="str">
        <f>Application!H289</f>
        <v>Los Angeles, CA 90045</v>
      </c>
    </row>
    <row r="60" spans="1:57" ht="12.95" customHeight="1">
      <c r="A60" s="1263" t="s">
        <v>2154</v>
      </c>
      <c r="B60" s="1263"/>
      <c r="C60" s="1263"/>
      <c r="D60" s="1263"/>
      <c r="E60" s="1263"/>
      <c r="F60" s="1263"/>
      <c r="G60" s="1263"/>
      <c r="H60" s="1263"/>
      <c r="I60" s="1263"/>
      <c r="J60" s="1263"/>
      <c r="K60" s="1263"/>
      <c r="L60" s="1263"/>
      <c r="M60" s="1263"/>
      <c r="N60" s="1263"/>
      <c r="O60" s="1263"/>
      <c r="P60" s="1263"/>
      <c r="Q60" s="1263"/>
      <c r="R60" s="1263"/>
      <c r="S60" s="1263"/>
      <c r="T60" s="1263"/>
      <c r="U60" s="1263"/>
      <c r="V60" s="1263"/>
      <c r="W60" s="1263"/>
      <c r="X60" s="1263"/>
      <c r="Y60" s="1263"/>
      <c r="Z60" s="1263"/>
      <c r="AA60" s="1263"/>
      <c r="AB60" s="1263"/>
      <c r="AC60" s="1263"/>
      <c r="AD60" s="1263"/>
      <c r="AE60" s="1263"/>
      <c r="AF60" s="1263"/>
      <c r="AG60" s="1263"/>
      <c r="AH60" s="1263"/>
      <c r="AI60" s="1263"/>
      <c r="AJ60" s="1263"/>
      <c r="AK60" s="1263"/>
      <c r="AL60" s="1263"/>
      <c r="AM60" s="1263"/>
      <c r="AN60" s="1263"/>
      <c r="AO60" s="1263"/>
      <c r="AP60" s="1263"/>
      <c r="AQ60" s="1263"/>
      <c r="AR60" s="1263"/>
      <c r="AS60" s="1263"/>
      <c r="AT60" s="1263"/>
      <c r="AU60" s="20"/>
      <c r="AV60" s="20"/>
      <c r="AW60" s="20"/>
      <c r="AX60" s="20"/>
      <c r="AY60" s="20"/>
      <c r="AZ60" s="20"/>
      <c r="BD60" s="1248" t="s">
        <v>2554</v>
      </c>
      <c r="BE60" s="1249" t="str">
        <f>Application!H290</f>
        <v>Sydne Garchik</v>
      </c>
    </row>
    <row r="61" spans="1:57" ht="12.95" customHeight="1">
      <c r="A61" s="1263"/>
      <c r="B61" s="1263"/>
      <c r="C61" s="1263"/>
      <c r="D61" s="1263"/>
      <c r="E61" s="1263"/>
      <c r="F61" s="1263"/>
      <c r="G61" s="1263"/>
      <c r="H61" s="1263"/>
      <c r="I61" s="1263"/>
      <c r="J61" s="1263"/>
      <c r="K61" s="1263"/>
      <c r="L61" s="1263"/>
      <c r="M61" s="1263"/>
      <c r="N61" s="1263"/>
      <c r="O61" s="1263"/>
      <c r="P61" s="1263"/>
      <c r="Q61" s="1263"/>
      <c r="R61" s="1263"/>
      <c r="S61" s="1263"/>
      <c r="T61" s="1263"/>
      <c r="U61" s="1263"/>
      <c r="V61" s="1263"/>
      <c r="W61" s="1263"/>
      <c r="X61" s="1263"/>
      <c r="Y61" s="1263"/>
      <c r="Z61" s="1263"/>
      <c r="AA61" s="1263"/>
      <c r="AB61" s="1263"/>
      <c r="AC61" s="1263"/>
      <c r="AD61" s="1263"/>
      <c r="AE61" s="1263"/>
      <c r="AF61" s="1263"/>
      <c r="AG61" s="1263"/>
      <c r="AH61" s="1263"/>
      <c r="AI61" s="1263"/>
      <c r="AJ61" s="1263"/>
      <c r="AK61" s="1263"/>
      <c r="AL61" s="1263"/>
      <c r="AM61" s="1263"/>
      <c r="AN61" s="1263"/>
      <c r="AO61" s="1263"/>
      <c r="AP61" s="1263"/>
      <c r="AQ61" s="1263"/>
      <c r="AR61" s="1263"/>
      <c r="AS61" s="1263"/>
      <c r="AT61" s="1263"/>
      <c r="AU61" s="20"/>
      <c r="AV61" s="20"/>
      <c r="AW61" s="20"/>
      <c r="AX61" s="20"/>
      <c r="AY61" s="20"/>
      <c r="AZ61" s="20"/>
      <c r="BD61" s="1247" t="s">
        <v>2555</v>
      </c>
      <c r="BE61" s="1249" t="str">
        <f>Application!H293</f>
        <v>sgarchik@mrkpartners.com</v>
      </c>
    </row>
    <row r="62" spans="1:57" ht="12.95"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2556</v>
      </c>
      <c r="BE62" s="1252">
        <f>'Basis &amp; Credits'!AB50</f>
        <v>0.88874706999999997</v>
      </c>
    </row>
    <row r="63" spans="1:57" ht="12.95" customHeight="1">
      <c r="A63" s="91" t="s">
        <v>2155</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1249</v>
      </c>
      <c r="BE63" s="1252">
        <f>'Basis &amp; Credits'!AB72</f>
        <v>0</v>
      </c>
    </row>
    <row r="64" spans="1:57"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2557</v>
      </c>
      <c r="BE64" s="1249" t="str">
        <f>Application!X180</f>
        <v>No</v>
      </c>
    </row>
    <row r="65" spans="1:57" ht="12.95" customHeight="1">
      <c r="A65" s="1461" t="s">
        <v>2156</v>
      </c>
      <c r="B65" s="1461"/>
      <c r="C65" s="1461"/>
      <c r="D65" s="1461"/>
      <c r="E65" s="1461"/>
      <c r="F65" s="1461"/>
      <c r="G65" s="1461"/>
      <c r="H65" s="1461"/>
      <c r="I65" s="1461"/>
      <c r="J65" s="1461"/>
      <c r="K65" s="1461"/>
      <c r="L65" s="1461"/>
      <c r="M65" s="1461"/>
      <c r="N65" s="1461"/>
      <c r="O65" s="1461"/>
      <c r="P65" s="1461"/>
      <c r="Q65" s="1461"/>
      <c r="R65" s="1461"/>
      <c r="S65" s="1461"/>
      <c r="T65" s="1461"/>
      <c r="U65" s="1461"/>
      <c r="V65" s="1461"/>
      <c r="W65" s="1461"/>
      <c r="X65" s="1461"/>
      <c r="Y65" s="1461"/>
      <c r="Z65" s="1461"/>
      <c r="AA65" s="1461"/>
      <c r="AB65" s="1461"/>
      <c r="AC65" s="1461"/>
      <c r="AD65" s="1461"/>
      <c r="AE65" s="1461"/>
      <c r="AF65" s="1461"/>
      <c r="AG65" s="1461"/>
      <c r="AH65" s="1461"/>
      <c r="AI65" s="1461"/>
      <c r="AJ65" s="1461"/>
      <c r="AK65" s="1461"/>
      <c r="AL65" s="1461"/>
      <c r="AM65" s="1461"/>
      <c r="AN65" s="1461"/>
      <c r="AO65" s="1461"/>
      <c r="AP65" s="1461"/>
      <c r="AQ65" s="1461"/>
      <c r="AR65" s="1461"/>
      <c r="AS65" s="1461"/>
      <c r="AT65" s="1461"/>
      <c r="AU65" s="21"/>
      <c r="AV65" s="21"/>
      <c r="AW65" s="21"/>
      <c r="AX65" s="21"/>
      <c r="AY65" s="21"/>
      <c r="AZ65" s="20"/>
      <c r="BD65" s="1247" t="s">
        <v>2593</v>
      </c>
      <c r="BE65" s="1249" t="str">
        <f>Z205</f>
        <v>$500M</v>
      </c>
    </row>
    <row r="66" spans="1:57" ht="12.95" customHeight="1">
      <c r="A66" s="1461"/>
      <c r="B66" s="1461"/>
      <c r="C66" s="1461"/>
      <c r="D66" s="1461"/>
      <c r="E66" s="1461"/>
      <c r="F66" s="1461"/>
      <c r="G66" s="1461"/>
      <c r="H66" s="1461"/>
      <c r="I66" s="1461"/>
      <c r="J66" s="1461"/>
      <c r="K66" s="1461"/>
      <c r="L66" s="1461"/>
      <c r="M66" s="1461"/>
      <c r="N66" s="1461"/>
      <c r="O66" s="1461"/>
      <c r="P66" s="1461"/>
      <c r="Q66" s="1461"/>
      <c r="R66" s="1461"/>
      <c r="S66" s="1461"/>
      <c r="T66" s="1461"/>
      <c r="U66" s="1461"/>
      <c r="V66" s="1461"/>
      <c r="W66" s="1461"/>
      <c r="X66" s="1461"/>
      <c r="Y66" s="1461"/>
      <c r="Z66" s="1461"/>
      <c r="AA66" s="1461"/>
      <c r="AB66" s="1461"/>
      <c r="AC66" s="1461"/>
      <c r="AD66" s="1461"/>
      <c r="AE66" s="1461"/>
      <c r="AF66" s="1461"/>
      <c r="AG66" s="1461"/>
      <c r="AH66" s="1461"/>
      <c r="AI66" s="1461"/>
      <c r="AJ66" s="1461"/>
      <c r="AK66" s="1461"/>
      <c r="AL66" s="1461"/>
      <c r="AM66" s="1461"/>
      <c r="AN66" s="1461"/>
      <c r="AO66" s="1461"/>
      <c r="AP66" s="1461"/>
      <c r="AQ66" s="1461"/>
      <c r="AR66" s="1461"/>
      <c r="AS66" s="1461"/>
      <c r="AT66" s="1461"/>
      <c r="AU66" s="21"/>
      <c r="AV66" s="21"/>
      <c r="AW66" s="21"/>
      <c r="AX66" s="21"/>
      <c r="AY66" s="21"/>
      <c r="AZ66" s="20"/>
      <c r="BD66" s="1248" t="s">
        <v>2558</v>
      </c>
      <c r="BE66" s="1249" t="b">
        <f>Application!Z205="State Farmworker Credit"</f>
        <v>0</v>
      </c>
    </row>
    <row r="67" spans="1:57" ht="12.95" customHeight="1">
      <c r="A67" s="1461"/>
      <c r="B67" s="1461"/>
      <c r="C67" s="1461"/>
      <c r="D67" s="1461"/>
      <c r="E67" s="1461"/>
      <c r="F67" s="1461"/>
      <c r="G67" s="1461"/>
      <c r="H67" s="1461"/>
      <c r="I67" s="1461"/>
      <c r="J67" s="1461"/>
      <c r="K67" s="1461"/>
      <c r="L67" s="1461"/>
      <c r="M67" s="1461"/>
      <c r="N67" s="1461"/>
      <c r="O67" s="1461"/>
      <c r="P67" s="1461"/>
      <c r="Q67" s="1461"/>
      <c r="R67" s="1461"/>
      <c r="S67" s="1461"/>
      <c r="T67" s="1461"/>
      <c r="U67" s="1461"/>
      <c r="V67" s="1461"/>
      <c r="W67" s="1461"/>
      <c r="X67" s="1461"/>
      <c r="Y67" s="1461"/>
      <c r="Z67" s="1461"/>
      <c r="AA67" s="1461"/>
      <c r="AB67" s="1461"/>
      <c r="AC67" s="1461"/>
      <c r="AD67" s="1461"/>
      <c r="AE67" s="1461"/>
      <c r="AF67" s="1461"/>
      <c r="AG67" s="1461"/>
      <c r="AH67" s="1461"/>
      <c r="AI67" s="1461"/>
      <c r="AJ67" s="1461"/>
      <c r="AK67" s="1461"/>
      <c r="AL67" s="1461"/>
      <c r="AM67" s="1461"/>
      <c r="AN67" s="1461"/>
      <c r="AO67" s="1461"/>
      <c r="AP67" s="1461"/>
      <c r="AQ67" s="1461"/>
      <c r="AR67" s="1461"/>
      <c r="AS67" s="1461"/>
      <c r="AT67" s="1461"/>
      <c r="AZ67" s="20"/>
      <c r="BD67" s="1247" t="s">
        <v>2559</v>
      </c>
      <c r="BE67" s="1249" t="b">
        <f>Application!O33="Yes"</f>
        <v>0</v>
      </c>
    </row>
    <row r="68" spans="1:57"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2560</v>
      </c>
      <c r="BE68" s="1249">
        <f>'Sources and Uses Budget'!D105</f>
        <v>0</v>
      </c>
    </row>
    <row r="69" spans="1:57" ht="12.95" customHeight="1">
      <c r="A69" s="1461" t="s">
        <v>2157</v>
      </c>
      <c r="B69" s="1461"/>
      <c r="C69" s="1461"/>
      <c r="D69" s="1461"/>
      <c r="E69" s="1461"/>
      <c r="F69" s="1461"/>
      <c r="G69" s="1461"/>
      <c r="H69" s="1461"/>
      <c r="I69" s="1461"/>
      <c r="J69" s="1461"/>
      <c r="K69" s="1461"/>
      <c r="L69" s="1461"/>
      <c r="M69" s="1461"/>
      <c r="N69" s="1461"/>
      <c r="O69" s="1461"/>
      <c r="P69" s="1461"/>
      <c r="Q69" s="1461"/>
      <c r="R69" s="1461"/>
      <c r="S69" s="1461"/>
      <c r="T69" s="1461"/>
      <c r="U69" s="1461"/>
      <c r="V69" s="1461"/>
      <c r="W69" s="1461"/>
      <c r="X69" s="1461"/>
      <c r="Y69" s="1461"/>
      <c r="Z69" s="1461"/>
      <c r="AA69" s="1461"/>
      <c r="AB69" s="1461"/>
      <c r="AC69" s="1461"/>
      <c r="AD69" s="1461"/>
      <c r="AE69" s="1461"/>
      <c r="AF69" s="1461"/>
      <c r="AG69" s="1461"/>
      <c r="AH69" s="1461"/>
      <c r="AI69" s="1461"/>
      <c r="AJ69" s="1461"/>
      <c r="AK69" s="1461"/>
      <c r="AL69" s="1461"/>
      <c r="AM69" s="1461"/>
      <c r="AN69" s="1461"/>
      <c r="AO69" s="1461"/>
      <c r="AP69" s="1461"/>
      <c r="AQ69" s="1461"/>
      <c r="AR69" s="1461"/>
      <c r="AS69" s="1461"/>
      <c r="AT69" s="1461"/>
      <c r="AZ69" s="20"/>
      <c r="BD69" s="1247" t="s">
        <v>2561</v>
      </c>
      <c r="BE69" s="1249" t="str">
        <f>Application!W700</f>
        <v>California Housing Finance Agency</v>
      </c>
    </row>
    <row r="70" spans="1:57" ht="12.95" customHeight="1">
      <c r="A70" s="1461"/>
      <c r="B70" s="1461"/>
      <c r="C70" s="1461"/>
      <c r="D70" s="1461"/>
      <c r="E70" s="1461"/>
      <c r="F70" s="1461"/>
      <c r="G70" s="1461"/>
      <c r="H70" s="1461"/>
      <c r="I70" s="1461"/>
      <c r="J70" s="1461"/>
      <c r="K70" s="1461"/>
      <c r="L70" s="1461"/>
      <c r="M70" s="1461"/>
      <c r="N70" s="1461"/>
      <c r="O70" s="1461"/>
      <c r="P70" s="1461"/>
      <c r="Q70" s="1461"/>
      <c r="R70" s="1461"/>
      <c r="S70" s="1461"/>
      <c r="T70" s="1461"/>
      <c r="U70" s="1461"/>
      <c r="V70" s="1461"/>
      <c r="W70" s="1461"/>
      <c r="X70" s="1461"/>
      <c r="Y70" s="1461"/>
      <c r="Z70" s="1461"/>
      <c r="AA70" s="1461"/>
      <c r="AB70" s="1461"/>
      <c r="AC70" s="1461"/>
      <c r="AD70" s="1461"/>
      <c r="AE70" s="1461"/>
      <c r="AF70" s="1461"/>
      <c r="AG70" s="1461"/>
      <c r="AH70" s="1461"/>
      <c r="AI70" s="1461"/>
      <c r="AJ70" s="1461"/>
      <c r="AK70" s="1461"/>
      <c r="AL70" s="1461"/>
      <c r="AM70" s="1461"/>
      <c r="AN70" s="1461"/>
      <c r="AO70" s="1461"/>
      <c r="AP70" s="1461"/>
      <c r="AQ70" s="1461"/>
      <c r="AR70" s="1461"/>
      <c r="AS70" s="1461"/>
      <c r="AT70" s="1461"/>
      <c r="AU70" s="20"/>
      <c r="AV70" s="20"/>
      <c r="AW70" s="20"/>
      <c r="AX70" s="20"/>
      <c r="AY70" s="20"/>
      <c r="AZ70" s="20"/>
      <c r="BD70" s="1248" t="s">
        <v>2562</v>
      </c>
      <c r="BE70" s="1249">
        <f ca="1">'Points System'!AF821</f>
        <v>119</v>
      </c>
    </row>
    <row r="71" spans="1:57" ht="12.95"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2563</v>
      </c>
      <c r="BE71" s="1249">
        <f>'Points System'!AF804</f>
        <v>0</v>
      </c>
    </row>
    <row r="72" spans="1:57" ht="12.95" customHeight="1">
      <c r="A72" s="1459" t="s">
        <v>2158</v>
      </c>
      <c r="B72" s="1459"/>
      <c r="C72" s="1459"/>
      <c r="D72" s="1459"/>
      <c r="E72" s="1459"/>
      <c r="F72" s="1459"/>
      <c r="G72" s="1459"/>
      <c r="H72" s="1459"/>
      <c r="I72" s="1459"/>
      <c r="J72" s="1459"/>
      <c r="K72" s="1459"/>
      <c r="L72" s="1459"/>
      <c r="M72" s="1459"/>
      <c r="N72" s="1459"/>
      <c r="O72" s="1459"/>
      <c r="P72" s="1459"/>
      <c r="Q72" s="1459"/>
      <c r="R72" s="1459"/>
      <c r="S72" s="1459"/>
      <c r="T72" s="1459"/>
      <c r="U72" s="1459"/>
      <c r="V72" s="1459"/>
      <c r="W72" s="1459"/>
      <c r="X72" s="1459"/>
      <c r="Y72" s="1459"/>
      <c r="Z72" s="1459"/>
      <c r="AA72" s="1459"/>
      <c r="AB72" s="1459"/>
      <c r="AC72" s="1459"/>
      <c r="AD72" s="1459"/>
      <c r="AE72" s="1459"/>
      <c r="AF72" s="1459"/>
      <c r="AG72" s="1459"/>
      <c r="AH72" s="1459"/>
      <c r="AI72" s="1459"/>
      <c r="AJ72" s="1459"/>
      <c r="AK72" s="1459"/>
      <c r="AL72" s="1459"/>
      <c r="AM72" s="1459"/>
      <c r="AN72" s="1459"/>
      <c r="AO72" s="1459"/>
      <c r="AP72" s="1459"/>
      <c r="AQ72" s="1459"/>
      <c r="AR72" s="1459"/>
      <c r="AS72" s="1459"/>
      <c r="AT72" s="1459"/>
      <c r="AU72" s="20"/>
      <c r="AV72" s="20"/>
      <c r="AW72" s="20"/>
      <c r="AX72" s="20"/>
      <c r="AY72" s="20"/>
      <c r="AZ72" s="20"/>
      <c r="BD72" s="1248" t="s">
        <v>2564</v>
      </c>
      <c r="BE72" s="1249">
        <f>'Points System'!AF805</f>
        <v>10</v>
      </c>
    </row>
    <row r="73" spans="1:57" ht="12.95" customHeight="1">
      <c r="A73" s="1459"/>
      <c r="B73" s="1459"/>
      <c r="C73" s="1459"/>
      <c r="D73" s="1459"/>
      <c r="E73" s="1459"/>
      <c r="F73" s="1459"/>
      <c r="G73" s="1459"/>
      <c r="H73" s="1459"/>
      <c r="I73" s="1459"/>
      <c r="J73" s="1459"/>
      <c r="K73" s="1459"/>
      <c r="L73" s="1459"/>
      <c r="M73" s="1459"/>
      <c r="N73" s="1459"/>
      <c r="O73" s="1459"/>
      <c r="P73" s="1459"/>
      <c r="Q73" s="1459"/>
      <c r="R73" s="1459"/>
      <c r="S73" s="1459"/>
      <c r="T73" s="1459"/>
      <c r="U73" s="1459"/>
      <c r="V73" s="1459"/>
      <c r="W73" s="1459"/>
      <c r="X73" s="1459"/>
      <c r="Y73" s="1459"/>
      <c r="Z73" s="1459"/>
      <c r="AA73" s="1459"/>
      <c r="AB73" s="1459"/>
      <c r="AC73" s="1459"/>
      <c r="AD73" s="1459"/>
      <c r="AE73" s="1459"/>
      <c r="AF73" s="1459"/>
      <c r="AG73" s="1459"/>
      <c r="AH73" s="1459"/>
      <c r="AI73" s="1459"/>
      <c r="AJ73" s="1459"/>
      <c r="AK73" s="1459"/>
      <c r="AL73" s="1459"/>
      <c r="AM73" s="1459"/>
      <c r="AN73" s="1459"/>
      <c r="AO73" s="1459"/>
      <c r="AP73" s="1459"/>
      <c r="AQ73" s="1459"/>
      <c r="AR73" s="1459"/>
      <c r="AS73" s="1459"/>
      <c r="AT73" s="1459"/>
      <c r="AU73" s="20"/>
      <c r="AV73" s="20"/>
      <c r="AW73" s="20"/>
      <c r="AX73" s="20"/>
      <c r="AY73" s="20"/>
      <c r="AZ73" s="20"/>
      <c r="BD73" s="1247" t="s">
        <v>2565</v>
      </c>
      <c r="BE73" s="1249">
        <f ca="1">'Points System'!AF806</f>
        <v>20</v>
      </c>
    </row>
    <row r="74" spans="1:57"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2566</v>
      </c>
      <c r="BE74" s="1249">
        <f>'Points System'!AF807</f>
        <v>10</v>
      </c>
    </row>
    <row r="75" spans="1:57" ht="12.95" customHeight="1">
      <c r="A75" s="1782" t="s">
        <v>2159</v>
      </c>
      <c r="B75" s="1782"/>
      <c r="C75" s="1782"/>
      <c r="D75" s="1782"/>
      <c r="E75" s="1782"/>
      <c r="F75" s="1782"/>
      <c r="G75" s="1782"/>
      <c r="H75" s="1782"/>
      <c r="I75" s="1782"/>
      <c r="J75" s="1782"/>
      <c r="K75" s="1782"/>
      <c r="L75" s="1782"/>
      <c r="M75" s="1782"/>
      <c r="N75" s="1782"/>
      <c r="O75" s="1782"/>
      <c r="P75" s="1782"/>
      <c r="Q75" s="1782"/>
      <c r="R75" s="1782"/>
      <c r="S75" s="1782"/>
      <c r="T75" s="1782"/>
      <c r="U75" s="1782"/>
      <c r="V75" s="1782"/>
      <c r="W75" s="1782"/>
      <c r="X75" s="1782"/>
      <c r="Y75" s="1782"/>
      <c r="Z75" s="1782"/>
      <c r="AA75" s="1782"/>
      <c r="AB75" s="1782"/>
      <c r="AC75" s="1782"/>
      <c r="AD75" s="1782"/>
      <c r="AE75" s="1782"/>
      <c r="AF75" s="1782"/>
      <c r="AG75" s="1782"/>
      <c r="AH75" s="1782"/>
      <c r="AI75" s="1782"/>
      <c r="AJ75" s="1782"/>
      <c r="AK75" s="1782"/>
      <c r="AL75" s="1782"/>
      <c r="AM75" s="1782"/>
      <c r="AN75" s="1782"/>
      <c r="AO75" s="1782"/>
      <c r="AP75" s="1782"/>
      <c r="AQ75" s="1782"/>
      <c r="AR75" s="1782"/>
      <c r="AS75" s="1782"/>
      <c r="AT75" s="1782"/>
      <c r="AU75" s="20"/>
      <c r="AV75" s="20"/>
      <c r="AW75" s="20"/>
      <c r="AX75" s="20"/>
      <c r="AY75" s="20"/>
      <c r="AZ75" s="20"/>
      <c r="BD75" s="1247" t="s">
        <v>2567</v>
      </c>
      <c r="BE75" s="1249">
        <f>'Points System'!AF808</f>
        <v>10</v>
      </c>
    </row>
    <row r="76" spans="1:57" ht="12.95" customHeight="1">
      <c r="A76" s="1782"/>
      <c r="B76" s="1782"/>
      <c r="C76" s="1782"/>
      <c r="D76" s="1782"/>
      <c r="E76" s="1782"/>
      <c r="F76" s="1782"/>
      <c r="G76" s="1782"/>
      <c r="H76" s="1782"/>
      <c r="I76" s="1782"/>
      <c r="J76" s="1782"/>
      <c r="K76" s="1782"/>
      <c r="L76" s="1782"/>
      <c r="M76" s="1782"/>
      <c r="N76" s="1782"/>
      <c r="O76" s="1782"/>
      <c r="P76" s="1782"/>
      <c r="Q76" s="1782"/>
      <c r="R76" s="1782"/>
      <c r="S76" s="1782"/>
      <c r="T76" s="1782"/>
      <c r="U76" s="1782"/>
      <c r="V76" s="1782"/>
      <c r="W76" s="1782"/>
      <c r="X76" s="1782"/>
      <c r="Y76" s="1782"/>
      <c r="Z76" s="1782"/>
      <c r="AA76" s="1782"/>
      <c r="AB76" s="1782"/>
      <c r="AC76" s="1782"/>
      <c r="AD76" s="1782"/>
      <c r="AE76" s="1782"/>
      <c r="AF76" s="1782"/>
      <c r="AG76" s="1782"/>
      <c r="AH76" s="1782"/>
      <c r="AI76" s="1782"/>
      <c r="AJ76" s="1782"/>
      <c r="AK76" s="1782"/>
      <c r="AL76" s="1782"/>
      <c r="AM76" s="1782"/>
      <c r="AN76" s="1782"/>
      <c r="AO76" s="1782"/>
      <c r="AP76" s="1782"/>
      <c r="AQ76" s="1782"/>
      <c r="AR76" s="1782"/>
      <c r="AS76" s="1782"/>
      <c r="AT76" s="1782"/>
      <c r="AU76" s="20"/>
      <c r="AV76" s="20"/>
      <c r="AW76" s="20"/>
      <c r="AX76" s="20"/>
      <c r="AY76" s="20"/>
      <c r="AZ76" s="17"/>
      <c r="BD76" s="1248" t="s">
        <v>2568</v>
      </c>
      <c r="BE76" s="1249">
        <f>'Points System'!AF811</f>
        <v>10</v>
      </c>
    </row>
    <row r="77" spans="1:57" ht="12.95" customHeight="1">
      <c r="A77" s="1782"/>
      <c r="B77" s="1782"/>
      <c r="C77" s="1782"/>
      <c r="D77" s="1782"/>
      <c r="E77" s="1782"/>
      <c r="F77" s="1782"/>
      <c r="G77" s="1782"/>
      <c r="H77" s="1782"/>
      <c r="I77" s="1782"/>
      <c r="J77" s="1782"/>
      <c r="K77" s="1782"/>
      <c r="L77" s="1782"/>
      <c r="M77" s="1782"/>
      <c r="N77" s="1782"/>
      <c r="O77" s="1782"/>
      <c r="P77" s="1782"/>
      <c r="Q77" s="1782"/>
      <c r="R77" s="1782"/>
      <c r="S77" s="1782"/>
      <c r="T77" s="1782"/>
      <c r="U77" s="1782"/>
      <c r="V77" s="1782"/>
      <c r="W77" s="1782"/>
      <c r="X77" s="1782"/>
      <c r="Y77" s="1782"/>
      <c r="Z77" s="1782"/>
      <c r="AA77" s="1782"/>
      <c r="AB77" s="1782"/>
      <c r="AC77" s="1782"/>
      <c r="AD77" s="1782"/>
      <c r="AE77" s="1782"/>
      <c r="AF77" s="1782"/>
      <c r="AG77" s="1782"/>
      <c r="AH77" s="1782"/>
      <c r="AI77" s="1782"/>
      <c r="AJ77" s="1782"/>
      <c r="AK77" s="1782"/>
      <c r="AL77" s="1782"/>
      <c r="AM77" s="1782"/>
      <c r="AN77" s="1782"/>
      <c r="AO77" s="1782"/>
      <c r="AP77" s="1782"/>
      <c r="AQ77" s="1782"/>
      <c r="AR77" s="1782"/>
      <c r="AS77" s="1782"/>
      <c r="AT77" s="1782"/>
      <c r="AU77" s="20"/>
      <c r="AV77" s="20"/>
      <c r="AW77" s="20"/>
      <c r="AX77" s="20"/>
      <c r="AY77" s="20"/>
      <c r="AZ77" s="17"/>
      <c r="BD77" s="1247" t="s">
        <v>2569</v>
      </c>
      <c r="BE77" s="1249">
        <f>'Points System'!AF812</f>
        <v>8</v>
      </c>
    </row>
    <row r="78" spans="1:57"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2570</v>
      </c>
      <c r="BE78" s="1249">
        <f>'Points System'!AF814</f>
        <v>10</v>
      </c>
    </row>
    <row r="79" spans="1:57" ht="12.95" customHeight="1">
      <c r="A79" s="1461" t="s">
        <v>2160</v>
      </c>
      <c r="B79" s="1461"/>
      <c r="C79" s="1461"/>
      <c r="D79" s="1461"/>
      <c r="E79" s="1461"/>
      <c r="F79" s="1461"/>
      <c r="G79" s="1461"/>
      <c r="H79" s="1461"/>
      <c r="I79" s="1461"/>
      <c r="J79" s="1461"/>
      <c r="K79" s="1461"/>
      <c r="L79" s="1461"/>
      <c r="M79" s="1461"/>
      <c r="N79" s="1461"/>
      <c r="O79" s="1461"/>
      <c r="P79" s="1461"/>
      <c r="Q79" s="1461"/>
      <c r="R79" s="1461"/>
      <c r="S79" s="1461"/>
      <c r="T79" s="1461"/>
      <c r="U79" s="1461"/>
      <c r="V79" s="1461"/>
      <c r="W79" s="1461"/>
      <c r="X79" s="1461"/>
      <c r="Y79" s="1461"/>
      <c r="Z79" s="1461"/>
      <c r="AA79" s="1461"/>
      <c r="AB79" s="1461"/>
      <c r="AC79" s="1461"/>
      <c r="AD79" s="1461"/>
      <c r="AE79" s="1461"/>
      <c r="AF79" s="1461"/>
      <c r="AG79" s="1461"/>
      <c r="AH79" s="1461"/>
      <c r="AI79" s="1461"/>
      <c r="AJ79" s="1461"/>
      <c r="AK79" s="1461"/>
      <c r="AL79" s="1461"/>
      <c r="AM79" s="1461"/>
      <c r="AN79" s="1461"/>
      <c r="AO79" s="1461"/>
      <c r="AP79" s="1461"/>
      <c r="AQ79" s="1461"/>
      <c r="AR79" s="1461"/>
      <c r="AS79" s="1461"/>
      <c r="AT79" s="1461"/>
      <c r="AU79" s="20"/>
      <c r="AV79" s="20"/>
      <c r="AW79" s="20"/>
      <c r="AX79" s="20"/>
      <c r="AY79" s="20"/>
      <c r="AZ79" s="20"/>
      <c r="BD79" s="1247" t="s">
        <v>2571</v>
      </c>
      <c r="BE79" s="1249">
        <f>'Points System'!AF815</f>
        <v>9</v>
      </c>
    </row>
    <row r="80" spans="1:57" ht="12.95" customHeight="1">
      <c r="A80" s="1461"/>
      <c r="B80" s="1461"/>
      <c r="C80" s="1461"/>
      <c r="D80" s="1461"/>
      <c r="E80" s="1461"/>
      <c r="F80" s="1461"/>
      <c r="G80" s="1461"/>
      <c r="H80" s="1461"/>
      <c r="I80" s="1461"/>
      <c r="J80" s="1461"/>
      <c r="K80" s="1461"/>
      <c r="L80" s="1461"/>
      <c r="M80" s="1461"/>
      <c r="N80" s="1461"/>
      <c r="O80" s="1461"/>
      <c r="P80" s="1461"/>
      <c r="Q80" s="1461"/>
      <c r="R80" s="1461"/>
      <c r="S80" s="1461"/>
      <c r="T80" s="1461"/>
      <c r="U80" s="1461"/>
      <c r="V80" s="1461"/>
      <c r="W80" s="1461"/>
      <c r="X80" s="1461"/>
      <c r="Y80" s="1461"/>
      <c r="Z80" s="1461"/>
      <c r="AA80" s="1461"/>
      <c r="AB80" s="1461"/>
      <c r="AC80" s="1461"/>
      <c r="AD80" s="1461"/>
      <c r="AE80" s="1461"/>
      <c r="AF80" s="1461"/>
      <c r="AG80" s="1461"/>
      <c r="AH80" s="1461"/>
      <c r="AI80" s="1461"/>
      <c r="AJ80" s="1461"/>
      <c r="AK80" s="1461"/>
      <c r="AL80" s="1461"/>
      <c r="AM80" s="1461"/>
      <c r="AN80" s="1461"/>
      <c r="AO80" s="1461"/>
      <c r="AP80" s="1461"/>
      <c r="AQ80" s="1461"/>
      <c r="AR80" s="1461"/>
      <c r="AS80" s="1461"/>
      <c r="AT80" s="1461"/>
      <c r="AU80" s="20"/>
      <c r="AV80" s="20"/>
      <c r="AW80" s="20"/>
      <c r="AX80" s="20"/>
      <c r="AY80" s="20"/>
      <c r="AZ80" s="20"/>
      <c r="BD80" s="1248" t="s">
        <v>2572</v>
      </c>
      <c r="BE80" s="1249">
        <f>'Points System'!AF817</f>
        <v>10</v>
      </c>
    </row>
    <row r="81" spans="1:57" ht="12.95" customHeight="1">
      <c r="A81" s="1461"/>
      <c r="B81" s="1461"/>
      <c r="C81" s="1461"/>
      <c r="D81" s="1461"/>
      <c r="E81" s="1461"/>
      <c r="F81" s="1461"/>
      <c r="G81" s="1461"/>
      <c r="H81" s="1461"/>
      <c r="I81" s="1461"/>
      <c r="J81" s="1461"/>
      <c r="K81" s="1461"/>
      <c r="L81" s="1461"/>
      <c r="M81" s="1461"/>
      <c r="N81" s="1461"/>
      <c r="O81" s="1461"/>
      <c r="P81" s="1461"/>
      <c r="Q81" s="1461"/>
      <c r="R81" s="1461"/>
      <c r="S81" s="1461"/>
      <c r="T81" s="1461"/>
      <c r="U81" s="1461"/>
      <c r="V81" s="1461"/>
      <c r="W81" s="1461"/>
      <c r="X81" s="1461"/>
      <c r="Y81" s="1461"/>
      <c r="Z81" s="1461"/>
      <c r="AA81" s="1461"/>
      <c r="AB81" s="1461"/>
      <c r="AC81" s="1461"/>
      <c r="AD81" s="1461"/>
      <c r="AE81" s="1461"/>
      <c r="AF81" s="1461"/>
      <c r="AG81" s="1461"/>
      <c r="AH81" s="1461"/>
      <c r="AI81" s="1461"/>
      <c r="AJ81" s="1461"/>
      <c r="AK81" s="1461"/>
      <c r="AL81" s="1461"/>
      <c r="AM81" s="1461"/>
      <c r="AN81" s="1461"/>
      <c r="AO81" s="1461"/>
      <c r="AP81" s="1461"/>
      <c r="AQ81" s="1461"/>
      <c r="AR81" s="1461"/>
      <c r="AS81" s="1461"/>
      <c r="AT81" s="1461"/>
      <c r="AU81" s="20"/>
      <c r="AV81" s="20"/>
      <c r="AW81" s="20"/>
      <c r="AX81" s="20"/>
      <c r="AY81" s="20"/>
      <c r="AZ81" s="20"/>
      <c r="BD81" s="1247" t="s">
        <v>2573</v>
      </c>
      <c r="BE81" s="1249">
        <f>'Points System'!AF818</f>
        <v>12</v>
      </c>
    </row>
    <row r="82" spans="1:57" ht="12.95"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2574</v>
      </c>
      <c r="BE82" s="1249">
        <f>'Points System'!AF819</f>
        <v>10</v>
      </c>
    </row>
    <row r="83" spans="1:57" ht="12.95" customHeight="1">
      <c r="A83" s="1263" t="s">
        <v>2161</v>
      </c>
      <c r="B83" s="1263"/>
      <c r="C83" s="1263"/>
      <c r="D83" s="1263"/>
      <c r="E83" s="1263"/>
      <c r="F83" s="1263"/>
      <c r="G83" s="1263"/>
      <c r="H83" s="1263"/>
      <c r="I83" s="1263"/>
      <c r="J83" s="1263"/>
      <c r="K83" s="1263"/>
      <c r="L83" s="1263"/>
      <c r="M83" s="1263"/>
      <c r="N83" s="1263"/>
      <c r="O83" s="1263"/>
      <c r="P83" s="1263"/>
      <c r="Q83" s="1263"/>
      <c r="R83" s="1263"/>
      <c r="S83" s="1263"/>
      <c r="T83" s="1263"/>
      <c r="U83" s="1263"/>
      <c r="V83" s="1263"/>
      <c r="W83" s="1263"/>
      <c r="X83" s="1263"/>
      <c r="Y83" s="1263"/>
      <c r="Z83" s="1263"/>
      <c r="AA83" s="1263"/>
      <c r="AB83" s="1263"/>
      <c r="AC83" s="1263"/>
      <c r="AD83" s="1263"/>
      <c r="AE83" s="1263"/>
      <c r="AF83" s="1263"/>
      <c r="AG83" s="1263"/>
      <c r="AH83" s="1263"/>
      <c r="AI83" s="1263"/>
      <c r="AJ83" s="1263"/>
      <c r="AK83" s="1263"/>
      <c r="AL83" s="1263"/>
      <c r="AM83" s="1263"/>
      <c r="AN83" s="1263"/>
      <c r="AO83" s="1263"/>
      <c r="AP83" s="1263"/>
      <c r="AQ83" s="1263"/>
      <c r="AR83" s="1263"/>
      <c r="AS83" s="1263"/>
      <c r="AT83" s="1263"/>
      <c r="AU83" s="20"/>
      <c r="AV83" s="20"/>
      <c r="AW83" s="20"/>
      <c r="AX83" s="20"/>
      <c r="AY83" s="20"/>
      <c r="AZ83" s="20"/>
      <c r="BD83" s="1247" t="s">
        <v>2575</v>
      </c>
      <c r="BE83" s="1253">
        <f>'Tie Breaker'!H5</f>
        <v>1.4060161817868826</v>
      </c>
    </row>
    <row r="84" spans="1:57" ht="12.95" customHeight="1">
      <c r="A84" s="1263"/>
      <c r="B84" s="1263"/>
      <c r="C84" s="1263"/>
      <c r="D84" s="1263"/>
      <c r="E84" s="1263"/>
      <c r="F84" s="1263"/>
      <c r="G84" s="1263"/>
      <c r="H84" s="1263"/>
      <c r="I84" s="1263"/>
      <c r="J84" s="1263"/>
      <c r="K84" s="1263"/>
      <c r="L84" s="1263"/>
      <c r="M84" s="1263"/>
      <c r="N84" s="1263"/>
      <c r="O84" s="1263"/>
      <c r="P84" s="1263"/>
      <c r="Q84" s="1263"/>
      <c r="R84" s="1263"/>
      <c r="S84" s="1263"/>
      <c r="T84" s="1263"/>
      <c r="U84" s="1263"/>
      <c r="V84" s="1263"/>
      <c r="W84" s="1263"/>
      <c r="X84" s="1263"/>
      <c r="Y84" s="1263"/>
      <c r="Z84" s="1263"/>
      <c r="AA84" s="1263"/>
      <c r="AB84" s="1263"/>
      <c r="AC84" s="1263"/>
      <c r="AD84" s="1263"/>
      <c r="AE84" s="1263"/>
      <c r="AF84" s="1263"/>
      <c r="AG84" s="1263"/>
      <c r="AH84" s="1263"/>
      <c r="AI84" s="1263"/>
      <c r="AJ84" s="1263"/>
      <c r="AK84" s="1263"/>
      <c r="AL84" s="1263"/>
      <c r="AM84" s="1263"/>
      <c r="AN84" s="1263"/>
      <c r="AO84" s="1263"/>
      <c r="AP84" s="1263"/>
      <c r="AQ84" s="1263"/>
      <c r="AR84" s="1263"/>
      <c r="AS84" s="1263"/>
      <c r="AT84" s="1263"/>
      <c r="AU84" s="20"/>
      <c r="AV84" s="20"/>
      <c r="AW84" s="20"/>
      <c r="AX84" s="20"/>
      <c r="AY84" s="20"/>
      <c r="AZ84" s="20"/>
      <c r="BD84" s="1248" t="s">
        <v>2576</v>
      </c>
      <c r="BE84" s="1249" t="str">
        <f>Application!O153</f>
        <v>San Diego Housing Commission</v>
      </c>
    </row>
    <row r="85" spans="1:57"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2577</v>
      </c>
      <c r="BE85" s="1249" t="str">
        <f>Application!O154</f>
        <v>Jennifer Kreutter</v>
      </c>
    </row>
    <row r="86" spans="1:57" ht="12.95" customHeight="1">
      <c r="A86" s="1263" t="s">
        <v>2162</v>
      </c>
      <c r="B86" s="1263"/>
      <c r="C86" s="1263"/>
      <c r="D86" s="1263"/>
      <c r="E86" s="1263"/>
      <c r="F86" s="1263"/>
      <c r="G86" s="1263"/>
      <c r="H86" s="1263"/>
      <c r="I86" s="1263"/>
      <c r="J86" s="1263"/>
      <c r="K86" s="1263"/>
      <c r="L86" s="1263"/>
      <c r="M86" s="1263"/>
      <c r="N86" s="1263"/>
      <c r="O86" s="1263"/>
      <c r="P86" s="1263"/>
      <c r="Q86" s="1263"/>
      <c r="R86" s="1263"/>
      <c r="S86" s="1263"/>
      <c r="T86" s="1263"/>
      <c r="U86" s="1263"/>
      <c r="V86" s="1263"/>
      <c r="W86" s="1263"/>
      <c r="X86" s="1263"/>
      <c r="Y86" s="1263"/>
      <c r="Z86" s="1263"/>
      <c r="AA86" s="1263"/>
      <c r="AB86" s="1263"/>
      <c r="AC86" s="1263"/>
      <c r="AD86" s="1263"/>
      <c r="AE86" s="1263"/>
      <c r="AF86" s="1263"/>
      <c r="AG86" s="1263"/>
      <c r="AH86" s="1263"/>
      <c r="AI86" s="1263"/>
      <c r="AJ86" s="1263"/>
      <c r="AK86" s="1263"/>
      <c r="AL86" s="1263"/>
      <c r="AM86" s="1263"/>
      <c r="AN86" s="1263"/>
      <c r="AO86" s="1263"/>
      <c r="AP86" s="1263"/>
      <c r="AQ86" s="1263"/>
      <c r="AR86" s="1263"/>
      <c r="AS86" s="1263"/>
      <c r="AT86" s="1263"/>
      <c r="AU86" s="20"/>
      <c r="AV86" s="20"/>
      <c r="AW86" s="20"/>
      <c r="AX86" s="20"/>
      <c r="AY86" s="20"/>
      <c r="AZ86" s="20"/>
      <c r="BD86" s="1248" t="s">
        <v>2578</v>
      </c>
      <c r="BE86" s="1249" t="str">
        <f>Application!O155</f>
        <v>City Manager</v>
      </c>
    </row>
    <row r="87" spans="1:57" ht="12.95" customHeight="1">
      <c r="A87" s="1263"/>
      <c r="B87" s="1263"/>
      <c r="C87" s="1263"/>
      <c r="D87" s="1263"/>
      <c r="E87" s="1263"/>
      <c r="F87" s="1263"/>
      <c r="G87" s="1263"/>
      <c r="H87" s="1263"/>
      <c r="I87" s="1263"/>
      <c r="J87" s="1263"/>
      <c r="K87" s="1263"/>
      <c r="L87" s="1263"/>
      <c r="M87" s="1263"/>
      <c r="N87" s="1263"/>
      <c r="O87" s="1263"/>
      <c r="P87" s="1263"/>
      <c r="Q87" s="1263"/>
      <c r="R87" s="1263"/>
      <c r="S87" s="1263"/>
      <c r="T87" s="1263"/>
      <c r="U87" s="1263"/>
      <c r="V87" s="1263"/>
      <c r="W87" s="1263"/>
      <c r="X87" s="1263"/>
      <c r="Y87" s="1263"/>
      <c r="Z87" s="1263"/>
      <c r="AA87" s="1263"/>
      <c r="AB87" s="1263"/>
      <c r="AC87" s="1263"/>
      <c r="AD87" s="1263"/>
      <c r="AE87" s="1263"/>
      <c r="AF87" s="1263"/>
      <c r="AG87" s="1263"/>
      <c r="AH87" s="1263"/>
      <c r="AI87" s="1263"/>
      <c r="AJ87" s="1263"/>
      <c r="AK87" s="1263"/>
      <c r="AL87" s="1263"/>
      <c r="AM87" s="1263"/>
      <c r="AN87" s="1263"/>
      <c r="AO87" s="1263"/>
      <c r="AP87" s="1263"/>
      <c r="AQ87" s="1263"/>
      <c r="AR87" s="1263"/>
      <c r="AS87" s="1263"/>
      <c r="AT87" s="1263"/>
      <c r="AU87" s="20"/>
      <c r="AV87" s="20"/>
      <c r="AW87" s="20"/>
      <c r="AX87" s="20"/>
      <c r="AY87" s="20"/>
      <c r="AZ87" s="20"/>
      <c r="BD87" s="1247" t="s">
        <v>2579</v>
      </c>
      <c r="BE87" s="1249" t="str">
        <f>Application!O156</f>
        <v>1122 Broadway, Suite 300</v>
      </c>
    </row>
    <row r="88" spans="1:57"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2580</v>
      </c>
      <c r="BE88" s="1249" t="str">
        <f>Application!O157</f>
        <v>San Diego Housing Commission</v>
      </c>
    </row>
    <row r="89" spans="1:57" ht="12.95" customHeight="1">
      <c r="A89" s="1781" t="s">
        <v>2163</v>
      </c>
      <c r="B89" s="1781"/>
      <c r="C89" s="1781"/>
      <c r="D89" s="1781"/>
      <c r="E89" s="1781"/>
      <c r="F89" s="1781"/>
      <c r="G89" s="1781"/>
      <c r="H89" s="1781"/>
      <c r="I89" s="1781"/>
      <c r="J89" s="1781"/>
      <c r="K89" s="1781"/>
      <c r="L89" s="1781"/>
      <c r="M89" s="1781"/>
      <c r="N89" s="1781"/>
      <c r="O89" s="1781"/>
      <c r="P89" s="1781"/>
      <c r="Q89" s="1781"/>
      <c r="R89" s="1781"/>
      <c r="S89" s="1781"/>
      <c r="T89" s="1781"/>
      <c r="U89" s="1781"/>
      <c r="V89" s="1781"/>
      <c r="W89" s="1781"/>
      <c r="X89" s="1781"/>
      <c r="Y89" s="1781"/>
      <c r="Z89" s="1781"/>
      <c r="AA89" s="1781"/>
      <c r="AB89" s="1781"/>
      <c r="AC89" s="1781"/>
      <c r="AD89" s="1781"/>
      <c r="AE89" s="1781"/>
      <c r="AF89" s="1781"/>
      <c r="AG89" s="1781"/>
      <c r="AH89" s="1781"/>
      <c r="AI89" s="1781"/>
      <c r="AJ89" s="1781"/>
      <c r="AK89" s="1781"/>
      <c r="AL89" s="1781"/>
      <c r="AM89" s="1781"/>
      <c r="AN89" s="1781"/>
      <c r="AO89" s="1781"/>
      <c r="AP89" s="1781"/>
      <c r="AQ89" s="1781"/>
      <c r="AR89" s="1781"/>
      <c r="AS89" s="1781"/>
      <c r="AT89" s="1781"/>
      <c r="AU89" s="17"/>
      <c r="AV89" s="17"/>
      <c r="AW89" s="17"/>
      <c r="AX89" s="17"/>
      <c r="AY89" s="17"/>
      <c r="AZ89" s="20"/>
      <c r="BD89" s="1247" t="s">
        <v>2581</v>
      </c>
      <c r="BE89" s="1249">
        <f>Application!O158</f>
        <v>92101</v>
      </c>
    </row>
    <row r="90" spans="1:57" ht="12.95" customHeight="1">
      <c r="A90" s="1781"/>
      <c r="B90" s="1781"/>
      <c r="C90" s="1781"/>
      <c r="D90" s="1781"/>
      <c r="E90" s="1781"/>
      <c r="F90" s="1781"/>
      <c r="G90" s="1781"/>
      <c r="H90" s="1781"/>
      <c r="I90" s="1781"/>
      <c r="J90" s="1781"/>
      <c r="K90" s="1781"/>
      <c r="L90" s="1781"/>
      <c r="M90" s="1781"/>
      <c r="N90" s="1781"/>
      <c r="O90" s="1781"/>
      <c r="P90" s="1781"/>
      <c r="Q90" s="1781"/>
      <c r="R90" s="1781"/>
      <c r="S90" s="1781"/>
      <c r="T90" s="1781"/>
      <c r="U90" s="1781"/>
      <c r="V90" s="1781"/>
      <c r="W90" s="1781"/>
      <c r="X90" s="1781"/>
      <c r="Y90" s="1781"/>
      <c r="Z90" s="1781"/>
      <c r="AA90" s="1781"/>
      <c r="AB90" s="1781"/>
      <c r="AC90" s="1781"/>
      <c r="AD90" s="1781"/>
      <c r="AE90" s="1781"/>
      <c r="AF90" s="1781"/>
      <c r="AG90" s="1781"/>
      <c r="AH90" s="1781"/>
      <c r="AI90" s="1781"/>
      <c r="AJ90" s="1781"/>
      <c r="AK90" s="1781"/>
      <c r="AL90" s="1781"/>
      <c r="AM90" s="1781"/>
      <c r="AN90" s="1781"/>
      <c r="AO90" s="1781"/>
      <c r="AP90" s="1781"/>
      <c r="AQ90" s="1781"/>
      <c r="AR90" s="1781"/>
      <c r="AS90" s="1781"/>
      <c r="AT90" s="1781"/>
      <c r="AU90" s="17"/>
      <c r="AV90" s="17"/>
      <c r="AW90" s="17"/>
      <c r="AX90" s="17"/>
      <c r="AY90" s="17"/>
      <c r="AZ90" s="20"/>
      <c r="BD90" s="1248" t="s">
        <v>2582</v>
      </c>
      <c r="BE90" s="1249" t="str">
        <f>Application!H16</f>
        <v>MRK Partners, Inc.</v>
      </c>
    </row>
    <row r="91" spans="1:57"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2583</v>
      </c>
      <c r="BE91" s="1249" t="str">
        <f>Application!M233</f>
        <v>2711 N. Sepulveda Blvd # 526</v>
      </c>
    </row>
    <row r="92" spans="1:57" ht="12.95" customHeight="1">
      <c r="A92" s="1782" t="s">
        <v>2164</v>
      </c>
      <c r="B92" s="1782"/>
      <c r="C92" s="1782"/>
      <c r="D92" s="1782"/>
      <c r="E92" s="1782"/>
      <c r="F92" s="1782"/>
      <c r="G92" s="1782"/>
      <c r="H92" s="1782"/>
      <c r="I92" s="1782"/>
      <c r="J92" s="1782"/>
      <c r="K92" s="1782"/>
      <c r="L92" s="1782"/>
      <c r="M92" s="1782"/>
      <c r="N92" s="1782"/>
      <c r="O92" s="1782"/>
      <c r="P92" s="1782"/>
      <c r="Q92" s="1782"/>
      <c r="R92" s="1782"/>
      <c r="S92" s="1782"/>
      <c r="T92" s="1782"/>
      <c r="U92" s="1782"/>
      <c r="V92" s="1782"/>
      <c r="W92" s="1782"/>
      <c r="X92" s="1782"/>
      <c r="Y92" s="1782"/>
      <c r="Z92" s="1782"/>
      <c r="AA92" s="1782"/>
      <c r="AB92" s="1782"/>
      <c r="AC92" s="1782"/>
      <c r="AD92" s="1782"/>
      <c r="AE92" s="1782"/>
      <c r="AF92" s="1782"/>
      <c r="AG92" s="1782"/>
      <c r="AH92" s="1782"/>
      <c r="AI92" s="1782"/>
      <c r="AJ92" s="1782"/>
      <c r="AK92" s="1782"/>
      <c r="AL92" s="1782"/>
      <c r="AM92" s="1782"/>
      <c r="AN92" s="1782"/>
      <c r="AO92" s="1782"/>
      <c r="AP92" s="1782"/>
      <c r="AQ92" s="1782"/>
      <c r="AR92" s="1782"/>
      <c r="AS92" s="1782"/>
      <c r="AT92" s="1782"/>
      <c r="AU92" s="20"/>
      <c r="AV92" s="20"/>
      <c r="AW92" s="20"/>
      <c r="AX92" s="20"/>
      <c r="AY92" s="20"/>
      <c r="AZ92" s="20"/>
      <c r="BD92" s="1248" t="s">
        <v>2584</v>
      </c>
      <c r="BE92" s="1249" t="str">
        <f>Application!M234</f>
        <v>Manhattan Beach</v>
      </c>
    </row>
    <row r="93" spans="1:57" ht="12.95" customHeight="1">
      <c r="A93" s="1782"/>
      <c r="B93" s="1782"/>
      <c r="C93" s="1782"/>
      <c r="D93" s="1782"/>
      <c r="E93" s="1782"/>
      <c r="F93" s="1782"/>
      <c r="G93" s="1782"/>
      <c r="H93" s="1782"/>
      <c r="I93" s="1782"/>
      <c r="J93" s="1782"/>
      <c r="K93" s="1782"/>
      <c r="L93" s="1782"/>
      <c r="M93" s="1782"/>
      <c r="N93" s="1782"/>
      <c r="O93" s="1782"/>
      <c r="P93" s="1782"/>
      <c r="Q93" s="1782"/>
      <c r="R93" s="1782"/>
      <c r="S93" s="1782"/>
      <c r="T93" s="1782"/>
      <c r="U93" s="1782"/>
      <c r="V93" s="1782"/>
      <c r="W93" s="1782"/>
      <c r="X93" s="1782"/>
      <c r="Y93" s="1782"/>
      <c r="Z93" s="1782"/>
      <c r="AA93" s="1782"/>
      <c r="AB93" s="1782"/>
      <c r="AC93" s="1782"/>
      <c r="AD93" s="1782"/>
      <c r="AE93" s="1782"/>
      <c r="AF93" s="1782"/>
      <c r="AG93" s="1782"/>
      <c r="AH93" s="1782"/>
      <c r="AI93" s="1782"/>
      <c r="AJ93" s="1782"/>
      <c r="AK93" s="1782"/>
      <c r="AL93" s="1782"/>
      <c r="AM93" s="1782"/>
      <c r="AN93" s="1782"/>
      <c r="AO93" s="1782"/>
      <c r="AP93" s="1782"/>
      <c r="AQ93" s="1782"/>
      <c r="AR93" s="1782"/>
      <c r="AS93" s="1782"/>
      <c r="AT93" s="1782"/>
      <c r="AU93" s="20"/>
      <c r="AV93" s="20"/>
      <c r="AW93" s="20"/>
      <c r="AX93" s="20"/>
      <c r="AY93" s="20"/>
      <c r="AZ93" s="20"/>
      <c r="BD93" s="1247" t="s">
        <v>2585</v>
      </c>
      <c r="BE93" s="1249" t="str">
        <f>Application!W234</f>
        <v>CA</v>
      </c>
    </row>
    <row r="94" spans="1:57" ht="12.95" customHeight="1">
      <c r="A94" s="1782"/>
      <c r="B94" s="1782"/>
      <c r="C94" s="1782"/>
      <c r="D94" s="1782"/>
      <c r="E94" s="1782"/>
      <c r="F94" s="1782"/>
      <c r="G94" s="1782"/>
      <c r="H94" s="1782"/>
      <c r="I94" s="1782"/>
      <c r="J94" s="1782"/>
      <c r="K94" s="1782"/>
      <c r="L94" s="1782"/>
      <c r="M94" s="1782"/>
      <c r="N94" s="1782"/>
      <c r="O94" s="1782"/>
      <c r="P94" s="1782"/>
      <c r="Q94" s="1782"/>
      <c r="R94" s="1782"/>
      <c r="S94" s="1782"/>
      <c r="T94" s="1782"/>
      <c r="U94" s="1782"/>
      <c r="V94" s="1782"/>
      <c r="W94" s="1782"/>
      <c r="X94" s="1782"/>
      <c r="Y94" s="1782"/>
      <c r="Z94" s="1782"/>
      <c r="AA94" s="1782"/>
      <c r="AB94" s="1782"/>
      <c r="AC94" s="1782"/>
      <c r="AD94" s="1782"/>
      <c r="AE94" s="1782"/>
      <c r="AF94" s="1782"/>
      <c r="AG94" s="1782"/>
      <c r="AH94" s="1782"/>
      <c r="AI94" s="1782"/>
      <c r="AJ94" s="1782"/>
      <c r="AK94" s="1782"/>
      <c r="AL94" s="1782"/>
      <c r="AM94" s="1782"/>
      <c r="AN94" s="1782"/>
      <c r="AO94" s="1782"/>
      <c r="AP94" s="1782"/>
      <c r="AQ94" s="1782"/>
      <c r="AR94" s="1782"/>
      <c r="AS94" s="1782"/>
      <c r="AT94" s="1782"/>
      <c r="AU94" s="20"/>
      <c r="AV94" s="20"/>
      <c r="AW94" s="20"/>
      <c r="AX94" s="20"/>
      <c r="AY94" s="20"/>
      <c r="AZ94" s="20"/>
      <c r="BD94" s="1248" t="s">
        <v>2586</v>
      </c>
      <c r="BE94" s="1249">
        <f>Application!AC234</f>
        <v>90266</v>
      </c>
    </row>
    <row r="95" spans="1:57" ht="12.95" customHeight="1">
      <c r="A95" s="1782"/>
      <c r="B95" s="1782"/>
      <c r="C95" s="1782"/>
      <c r="D95" s="1782"/>
      <c r="E95" s="1782"/>
      <c r="F95" s="1782"/>
      <c r="G95" s="1782"/>
      <c r="H95" s="1782"/>
      <c r="I95" s="1782"/>
      <c r="J95" s="1782"/>
      <c r="K95" s="1782"/>
      <c r="L95" s="1782"/>
      <c r="M95" s="1782"/>
      <c r="N95" s="1782"/>
      <c r="O95" s="1782"/>
      <c r="P95" s="1782"/>
      <c r="Q95" s="1782"/>
      <c r="R95" s="1782"/>
      <c r="S95" s="1782"/>
      <c r="T95" s="1782"/>
      <c r="U95" s="1782"/>
      <c r="V95" s="1782"/>
      <c r="W95" s="1782"/>
      <c r="X95" s="1782"/>
      <c r="Y95" s="1782"/>
      <c r="Z95" s="1782"/>
      <c r="AA95" s="1782"/>
      <c r="AB95" s="1782"/>
      <c r="AC95" s="1782"/>
      <c r="AD95" s="1782"/>
      <c r="AE95" s="1782"/>
      <c r="AF95" s="1782"/>
      <c r="AG95" s="1782"/>
      <c r="AH95" s="1782"/>
      <c r="AI95" s="1782"/>
      <c r="AJ95" s="1782"/>
      <c r="AK95" s="1782"/>
      <c r="AL95" s="1782"/>
      <c r="AM95" s="1782"/>
      <c r="AN95" s="1782"/>
      <c r="AO95" s="1782"/>
      <c r="AP95" s="1782"/>
      <c r="AQ95" s="1782"/>
      <c r="AR95" s="1782"/>
      <c r="AS95" s="1782"/>
      <c r="AT95" s="1782"/>
      <c r="AU95" s="20"/>
      <c r="AV95" s="20"/>
      <c r="AW95" s="20"/>
      <c r="AX95" s="20"/>
      <c r="AY95" s="20"/>
      <c r="AZ95" s="20"/>
      <c r="BD95" s="1247" t="s">
        <v>2587</v>
      </c>
      <c r="BE95" s="1249" t="str">
        <f>Application!M235</f>
        <v>Sydne Garchik</v>
      </c>
    </row>
    <row r="96" spans="1:57" ht="12.95" customHeight="1">
      <c r="A96" s="1782"/>
      <c r="B96" s="1782"/>
      <c r="C96" s="1782"/>
      <c r="D96" s="1782"/>
      <c r="E96" s="1782"/>
      <c r="F96" s="1782"/>
      <c r="G96" s="1782"/>
      <c r="H96" s="1782"/>
      <c r="I96" s="1782"/>
      <c r="J96" s="1782"/>
      <c r="K96" s="1782"/>
      <c r="L96" s="1782"/>
      <c r="M96" s="1782"/>
      <c r="N96" s="1782"/>
      <c r="O96" s="1782"/>
      <c r="P96" s="1782"/>
      <c r="Q96" s="1782"/>
      <c r="R96" s="1782"/>
      <c r="S96" s="1782"/>
      <c r="T96" s="1782"/>
      <c r="U96" s="1782"/>
      <c r="V96" s="1782"/>
      <c r="W96" s="1782"/>
      <c r="X96" s="1782"/>
      <c r="Y96" s="1782"/>
      <c r="Z96" s="1782"/>
      <c r="AA96" s="1782"/>
      <c r="AB96" s="1782"/>
      <c r="AC96" s="1782"/>
      <c r="AD96" s="1782"/>
      <c r="AE96" s="1782"/>
      <c r="AF96" s="1782"/>
      <c r="AG96" s="1782"/>
      <c r="AH96" s="1782"/>
      <c r="AI96" s="1782"/>
      <c r="AJ96" s="1782"/>
      <c r="AK96" s="1782"/>
      <c r="AL96" s="1782"/>
      <c r="AM96" s="1782"/>
      <c r="AN96" s="1782"/>
      <c r="AO96" s="1782"/>
      <c r="AP96" s="1782"/>
      <c r="AQ96" s="1782"/>
      <c r="AR96" s="1782"/>
      <c r="AS96" s="1782"/>
      <c r="AT96" s="1782"/>
      <c r="AU96" s="20"/>
      <c r="AV96" s="20"/>
      <c r="AW96" s="20"/>
      <c r="AX96" s="20"/>
      <c r="AY96" s="20"/>
      <c r="AZ96" s="20"/>
      <c r="BD96" s="1248" t="s">
        <v>2588</v>
      </c>
      <c r="BE96" s="1249" t="str">
        <f>Application!M237</f>
        <v>sgarchik@mrkpartners.com</v>
      </c>
    </row>
    <row r="97" spans="1:57" ht="12.95" customHeight="1">
      <c r="A97" s="1782"/>
      <c r="B97" s="1782"/>
      <c r="C97" s="1782"/>
      <c r="D97" s="1782"/>
      <c r="E97" s="1782"/>
      <c r="F97" s="1782"/>
      <c r="G97" s="1782"/>
      <c r="H97" s="1782"/>
      <c r="I97" s="1782"/>
      <c r="J97" s="1782"/>
      <c r="K97" s="1782"/>
      <c r="L97" s="1782"/>
      <c r="M97" s="1782"/>
      <c r="N97" s="1782"/>
      <c r="O97" s="1782"/>
      <c r="P97" s="1782"/>
      <c r="Q97" s="1782"/>
      <c r="R97" s="1782"/>
      <c r="S97" s="1782"/>
      <c r="T97" s="1782"/>
      <c r="U97" s="1782"/>
      <c r="V97" s="1782"/>
      <c r="W97" s="1782"/>
      <c r="X97" s="1782"/>
      <c r="Y97" s="1782"/>
      <c r="Z97" s="1782"/>
      <c r="AA97" s="1782"/>
      <c r="AB97" s="1782"/>
      <c r="AC97" s="1782"/>
      <c r="AD97" s="1782"/>
      <c r="AE97" s="1782"/>
      <c r="AF97" s="1782"/>
      <c r="AG97" s="1782"/>
      <c r="AH97" s="1782"/>
      <c r="AI97" s="1782"/>
      <c r="AJ97" s="1782"/>
      <c r="AK97" s="1782"/>
      <c r="AL97" s="1782"/>
      <c r="AM97" s="1782"/>
      <c r="AN97" s="1782"/>
      <c r="AO97" s="1782"/>
      <c r="AP97" s="1782"/>
      <c r="AQ97" s="1782"/>
      <c r="AR97" s="1782"/>
      <c r="AS97" s="1782"/>
      <c r="AT97" s="1782"/>
      <c r="AU97" s="20"/>
      <c r="AV97" s="20"/>
      <c r="AW97" s="20"/>
      <c r="AX97" s="20"/>
      <c r="AY97" s="20"/>
      <c r="AZ97" s="20"/>
      <c r="BD97" s="1247" t="s">
        <v>2589</v>
      </c>
      <c r="BE97" s="1249" t="str">
        <f>Application!M248</f>
        <v>sgarchik@mrkpartners.com</v>
      </c>
    </row>
    <row r="98" spans="1:57" ht="12.95" customHeight="1">
      <c r="A98" s="1782"/>
      <c r="B98" s="1782"/>
      <c r="C98" s="1782"/>
      <c r="D98" s="1782"/>
      <c r="E98" s="1782"/>
      <c r="F98" s="1782"/>
      <c r="G98" s="1782"/>
      <c r="H98" s="1782"/>
      <c r="I98" s="1782"/>
      <c r="J98" s="1782"/>
      <c r="K98" s="1782"/>
      <c r="L98" s="1782"/>
      <c r="M98" s="1782"/>
      <c r="N98" s="1782"/>
      <c r="O98" s="1782"/>
      <c r="P98" s="1782"/>
      <c r="Q98" s="1782"/>
      <c r="R98" s="1782"/>
      <c r="S98" s="1782"/>
      <c r="T98" s="1782"/>
      <c r="U98" s="1782"/>
      <c r="V98" s="1782"/>
      <c r="W98" s="1782"/>
      <c r="X98" s="1782"/>
      <c r="Y98" s="1782"/>
      <c r="Z98" s="1782"/>
      <c r="AA98" s="1782"/>
      <c r="AB98" s="1782"/>
      <c r="AC98" s="1782"/>
      <c r="AD98" s="1782"/>
      <c r="AE98" s="1782"/>
      <c r="AF98" s="1782"/>
      <c r="AG98" s="1782"/>
      <c r="AH98" s="1782"/>
      <c r="AI98" s="1782"/>
      <c r="AJ98" s="1782"/>
      <c r="AK98" s="1782"/>
      <c r="AL98" s="1782"/>
      <c r="AM98" s="1782"/>
      <c r="AN98" s="1782"/>
      <c r="AO98" s="1782"/>
      <c r="AP98" s="1782"/>
      <c r="AQ98" s="1782"/>
      <c r="AR98" s="1782"/>
      <c r="AS98" s="1782"/>
      <c r="AT98" s="1782"/>
      <c r="AU98" s="20"/>
      <c r="AV98" s="20"/>
      <c r="AW98" s="20"/>
      <c r="AX98" s="20"/>
      <c r="AY98" s="20"/>
      <c r="AZ98" s="20"/>
      <c r="BD98" s="1248" t="s">
        <v>2590</v>
      </c>
      <c r="BE98" s="1249" t="str">
        <f>Application!M256</f>
        <v>robertlaing@pswcdc.org</v>
      </c>
    </row>
    <row r="99" spans="1:57"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2591</v>
      </c>
      <c r="BE99" s="1249">
        <f>Application!M264</f>
        <v>0</v>
      </c>
    </row>
    <row r="100" spans="1:57" ht="12.95" customHeight="1">
      <c r="A100" s="1783" t="s">
        <v>2165</v>
      </c>
      <c r="B100" s="1783"/>
      <c r="C100" s="1783"/>
      <c r="D100" s="1783"/>
      <c r="E100" s="1783"/>
      <c r="F100" s="1783"/>
      <c r="G100" s="1783"/>
      <c r="H100" s="1783"/>
      <c r="I100" s="1783"/>
      <c r="J100" s="1783"/>
      <c r="K100" s="1783"/>
      <c r="L100" s="1783"/>
      <c r="M100" s="1783"/>
      <c r="N100" s="1783"/>
      <c r="O100" s="1783"/>
      <c r="P100" s="1783"/>
      <c r="Q100" s="1783"/>
      <c r="R100" s="1783"/>
      <c r="S100" s="1783"/>
      <c r="T100" s="1783"/>
      <c r="U100" s="1783"/>
      <c r="V100" s="1783"/>
      <c r="W100" s="1783"/>
      <c r="X100" s="1783"/>
      <c r="Y100" s="1783"/>
      <c r="Z100" s="1783"/>
      <c r="AA100" s="1783"/>
      <c r="AB100" s="1783"/>
      <c r="AC100" s="1783"/>
      <c r="AD100" s="1783"/>
      <c r="AE100" s="1783"/>
      <c r="AF100" s="1783"/>
      <c r="AG100" s="1783"/>
      <c r="AH100" s="1783"/>
      <c r="AI100" s="1783"/>
      <c r="AJ100" s="1783"/>
      <c r="AK100" s="1783"/>
      <c r="AL100" s="1783"/>
      <c r="AM100" s="1783"/>
      <c r="AN100" s="1783"/>
      <c r="AO100" s="1783"/>
      <c r="AP100" s="1783"/>
      <c r="AQ100" s="1783"/>
      <c r="AR100" s="1783"/>
      <c r="AS100" s="1783"/>
      <c r="AT100" s="1783"/>
      <c r="AU100" s="20"/>
      <c r="AV100" s="20"/>
      <c r="AW100" s="20"/>
      <c r="AX100" s="20"/>
      <c r="AY100" s="20"/>
      <c r="AZ100" s="20"/>
      <c r="BD100" s="1248" t="s">
        <v>2592</v>
      </c>
      <c r="BE100" s="1249" t="str">
        <f>Application!L279</f>
        <v>dsechtin@mrkpartners.com </v>
      </c>
    </row>
    <row r="101" spans="1:57" ht="12.95" customHeight="1">
      <c r="A101" s="1783"/>
      <c r="B101" s="1783"/>
      <c r="C101" s="1783"/>
      <c r="D101" s="1783"/>
      <c r="E101" s="1783"/>
      <c r="F101" s="1783"/>
      <c r="G101" s="1783"/>
      <c r="H101" s="1783"/>
      <c r="I101" s="1783"/>
      <c r="J101" s="1783"/>
      <c r="K101" s="1783"/>
      <c r="L101" s="1783"/>
      <c r="M101" s="1783"/>
      <c r="N101" s="1783"/>
      <c r="O101" s="1783"/>
      <c r="P101" s="1783"/>
      <c r="Q101" s="1783"/>
      <c r="R101" s="1783"/>
      <c r="S101" s="1783"/>
      <c r="T101" s="1783"/>
      <c r="U101" s="1783"/>
      <c r="V101" s="1783"/>
      <c r="W101" s="1783"/>
      <c r="X101" s="1783"/>
      <c r="Y101" s="1783"/>
      <c r="Z101" s="1783"/>
      <c r="AA101" s="1783"/>
      <c r="AB101" s="1783"/>
      <c r="AC101" s="1783"/>
      <c r="AD101" s="1783"/>
      <c r="AE101" s="1783"/>
      <c r="AF101" s="1783"/>
      <c r="AG101" s="1783"/>
      <c r="AH101" s="1783"/>
      <c r="AI101" s="1783"/>
      <c r="AJ101" s="1783"/>
      <c r="AK101" s="1783"/>
      <c r="AL101" s="1783"/>
      <c r="AM101" s="1783"/>
      <c r="AN101" s="1783"/>
      <c r="AO101" s="1783"/>
      <c r="AP101" s="1783"/>
      <c r="AQ101" s="1783"/>
      <c r="AR101" s="1783"/>
      <c r="AS101" s="1783"/>
      <c r="AT101" s="1783"/>
      <c r="AU101" s="20"/>
      <c r="AV101" s="20"/>
      <c r="AW101" s="20"/>
      <c r="AX101" s="20"/>
      <c r="AY101" s="20"/>
      <c r="AZ101" s="20"/>
      <c r="BD101" s="3" t="s">
        <v>2597</v>
      </c>
      <c r="BE101">
        <f>'Sources and Uses Budget'!C105</f>
        <v>90329125</v>
      </c>
    </row>
    <row r="102" spans="1:57" ht="12.95" customHeight="1">
      <c r="A102" s="1783"/>
      <c r="B102" s="1783"/>
      <c r="C102" s="1783"/>
      <c r="D102" s="1783"/>
      <c r="E102" s="1783"/>
      <c r="F102" s="1783"/>
      <c r="G102" s="1783"/>
      <c r="H102" s="1783"/>
      <c r="I102" s="1783"/>
      <c r="J102" s="1783"/>
      <c r="K102" s="1783"/>
      <c r="L102" s="1783"/>
      <c r="M102" s="1783"/>
      <c r="N102" s="1783"/>
      <c r="O102" s="1783"/>
      <c r="P102" s="1783"/>
      <c r="Q102" s="1783"/>
      <c r="R102" s="1783"/>
      <c r="S102" s="1783"/>
      <c r="T102" s="1783"/>
      <c r="U102" s="1783"/>
      <c r="V102" s="1783"/>
      <c r="W102" s="1783"/>
      <c r="X102" s="1783"/>
      <c r="Y102" s="1783"/>
      <c r="Z102" s="1783"/>
      <c r="AA102" s="1783"/>
      <c r="AB102" s="1783"/>
      <c r="AC102" s="1783"/>
      <c r="AD102" s="1783"/>
      <c r="AE102" s="1783"/>
      <c r="AF102" s="1783"/>
      <c r="AG102" s="1783"/>
      <c r="AH102" s="1783"/>
      <c r="AI102" s="1783"/>
      <c r="AJ102" s="1783"/>
      <c r="AK102" s="1783"/>
      <c r="AL102" s="1783"/>
      <c r="AM102" s="1783"/>
      <c r="AN102" s="1783"/>
      <c r="AO102" s="1783"/>
      <c r="AP102" s="1783"/>
      <c r="AQ102" s="1783"/>
      <c r="AR102" s="1783"/>
      <c r="AS102" s="1783"/>
      <c r="AT102" s="1783"/>
      <c r="AU102" s="20"/>
      <c r="AV102" s="20"/>
      <c r="AW102" s="20"/>
      <c r="AX102" s="20"/>
      <c r="AY102" s="20"/>
      <c r="AZ102" s="20"/>
      <c r="BD102" s="3" t="s">
        <v>2598</v>
      </c>
      <c r="BE102" t="b">
        <f>T197="Yes"</f>
        <v>0</v>
      </c>
    </row>
    <row r="103" spans="1:57" ht="12.95" customHeight="1">
      <c r="A103" s="1783"/>
      <c r="B103" s="1783"/>
      <c r="C103" s="1783"/>
      <c r="D103" s="1783"/>
      <c r="E103" s="1783"/>
      <c r="F103" s="1783"/>
      <c r="G103" s="1783"/>
      <c r="H103" s="1783"/>
      <c r="I103" s="1783"/>
      <c r="J103" s="1783"/>
      <c r="K103" s="1783"/>
      <c r="L103" s="1783"/>
      <c r="M103" s="1783"/>
      <c r="N103" s="1783"/>
      <c r="O103" s="1783"/>
      <c r="P103" s="1783"/>
      <c r="Q103" s="1783"/>
      <c r="R103" s="1783"/>
      <c r="S103" s="1783"/>
      <c r="T103" s="1783"/>
      <c r="U103" s="1783"/>
      <c r="V103" s="1783"/>
      <c r="W103" s="1783"/>
      <c r="X103" s="1783"/>
      <c r="Y103" s="1783"/>
      <c r="Z103" s="1783"/>
      <c r="AA103" s="1783"/>
      <c r="AB103" s="1783"/>
      <c r="AC103" s="1783"/>
      <c r="AD103" s="1783"/>
      <c r="AE103" s="1783"/>
      <c r="AF103" s="1783"/>
      <c r="AG103" s="1783"/>
      <c r="AH103" s="1783"/>
      <c r="AI103" s="1783"/>
      <c r="AJ103" s="1783"/>
      <c r="AK103" s="1783"/>
      <c r="AL103" s="1783"/>
      <c r="AM103" s="1783"/>
      <c r="AN103" s="1783"/>
      <c r="AO103" s="1783"/>
      <c r="AP103" s="1783"/>
      <c r="AQ103" s="1783"/>
      <c r="AR103" s="1783"/>
      <c r="AS103" s="1783"/>
      <c r="AT103" s="1783"/>
      <c r="AU103" s="20"/>
      <c r="AV103" s="20"/>
      <c r="AW103" s="20"/>
      <c r="AX103" s="20"/>
      <c r="AY103" s="20"/>
      <c r="BD103" t="s">
        <v>2175</v>
      </c>
      <c r="BE103" s="1249" t="b">
        <f>T199="Yes"</f>
        <v>0</v>
      </c>
    </row>
    <row r="104" spans="1:57"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2.95" customHeight="1">
      <c r="A105" s="1783" t="s">
        <v>2166</v>
      </c>
      <c r="B105" s="1783"/>
      <c r="C105" s="1783"/>
      <c r="D105" s="1783"/>
      <c r="E105" s="1783"/>
      <c r="F105" s="1783"/>
      <c r="G105" s="1783"/>
      <c r="H105" s="1783"/>
      <c r="I105" s="1783"/>
      <c r="J105" s="1783"/>
      <c r="K105" s="1783"/>
      <c r="L105" s="1783"/>
      <c r="M105" s="1783"/>
      <c r="N105" s="1783"/>
      <c r="O105" s="1783"/>
      <c r="P105" s="1783"/>
      <c r="Q105" s="1783"/>
      <c r="R105" s="1783"/>
      <c r="S105" s="1783"/>
      <c r="T105" s="1783"/>
      <c r="U105" s="1783"/>
      <c r="V105" s="1783"/>
      <c r="W105" s="1783"/>
      <c r="X105" s="1783"/>
      <c r="Y105" s="1783"/>
      <c r="Z105" s="1783"/>
      <c r="AA105" s="1783"/>
      <c r="AB105" s="1783"/>
      <c r="AC105" s="1783"/>
      <c r="AD105" s="1783"/>
      <c r="AE105" s="1783"/>
      <c r="AF105" s="1783"/>
      <c r="AG105" s="1783"/>
      <c r="AH105" s="1783"/>
      <c r="AI105" s="1783"/>
      <c r="AJ105" s="1783"/>
      <c r="AK105" s="1783"/>
      <c r="AL105" s="1783"/>
      <c r="AM105" s="1783"/>
      <c r="AN105" s="1783"/>
      <c r="AO105" s="1783"/>
      <c r="AP105" s="1783"/>
      <c r="AQ105" s="1783"/>
      <c r="AR105" s="1783"/>
      <c r="AS105" s="1783"/>
      <c r="AT105" s="1783"/>
      <c r="AU105" s="20"/>
      <c r="AV105" s="20"/>
      <c r="AW105" s="20"/>
      <c r="AX105" s="20"/>
      <c r="AY105" s="20"/>
    </row>
    <row r="106" spans="1:57" ht="12.95" customHeight="1">
      <c r="A106" s="1783"/>
      <c r="B106" s="1783"/>
      <c r="C106" s="1783"/>
      <c r="D106" s="1783"/>
      <c r="E106" s="1783"/>
      <c r="F106" s="1783"/>
      <c r="G106" s="1783"/>
      <c r="H106" s="1783"/>
      <c r="I106" s="1783"/>
      <c r="J106" s="1783"/>
      <c r="K106" s="1783"/>
      <c r="L106" s="1783"/>
      <c r="M106" s="1783"/>
      <c r="N106" s="1783"/>
      <c r="O106" s="1783"/>
      <c r="P106" s="1783"/>
      <c r="Q106" s="1783"/>
      <c r="R106" s="1783"/>
      <c r="S106" s="1783"/>
      <c r="T106" s="1783"/>
      <c r="U106" s="1783"/>
      <c r="V106" s="1783"/>
      <c r="W106" s="1783"/>
      <c r="X106" s="1783"/>
      <c r="Y106" s="1783"/>
      <c r="Z106" s="1783"/>
      <c r="AA106" s="1783"/>
      <c r="AB106" s="1783"/>
      <c r="AC106" s="1783"/>
      <c r="AD106" s="1783"/>
      <c r="AE106" s="1783"/>
      <c r="AF106" s="1783"/>
      <c r="AG106" s="1783"/>
      <c r="AH106" s="1783"/>
      <c r="AI106" s="1783"/>
      <c r="AJ106" s="1783"/>
      <c r="AK106" s="1783"/>
      <c r="AL106" s="1783"/>
      <c r="AM106" s="1783"/>
      <c r="AN106" s="1783"/>
      <c r="AO106" s="1783"/>
      <c r="AP106" s="1783"/>
      <c r="AQ106" s="1783"/>
      <c r="AR106" s="1783"/>
      <c r="AS106" s="1783"/>
      <c r="AT106" s="1783"/>
      <c r="AU106" s="20"/>
      <c r="AV106" s="20"/>
      <c r="AW106" s="20"/>
      <c r="AX106" s="20"/>
      <c r="AY106" s="20"/>
    </row>
    <row r="107" spans="1:57" ht="12.95"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2.95" customHeight="1">
      <c r="A108" s="517" t="s">
        <v>2167</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2.95"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2.95"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2.95"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2.95" customHeight="1">
      <c r="A113" s="289"/>
      <c r="C113" s="3" t="s">
        <v>180</v>
      </c>
      <c r="G113" s="1784" t="s">
        <v>2613</v>
      </c>
      <c r="H113" s="1784"/>
      <c r="I113" s="3" t="s">
        <v>181</v>
      </c>
      <c r="L113" s="1784" t="s">
        <v>2614</v>
      </c>
      <c r="M113" s="1784"/>
      <c r="N113" s="1784"/>
      <c r="O113" s="1784"/>
      <c r="P113" s="1790" t="s">
        <v>2239</v>
      </c>
      <c r="Q113" s="1790"/>
      <c r="R113" s="1790"/>
      <c r="S113" s="1790"/>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2.95" customHeight="1">
      <c r="A115" s="91"/>
      <c r="C115" s="1798" t="s">
        <v>494</v>
      </c>
      <c r="D115" s="1798"/>
      <c r="E115" s="1798"/>
      <c r="F115" s="1798"/>
      <c r="G115" s="1798"/>
      <c r="H115" s="1798"/>
      <c r="I115" s="1798"/>
      <c r="J115" s="1798"/>
      <c r="K115" s="1798"/>
      <c r="L115" s="202" t="s">
        <v>627</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2.95" customHeight="1">
      <c r="A117" s="91"/>
      <c r="B117" s="22"/>
      <c r="C117" s="22"/>
      <c r="X117" s="3" t="s">
        <v>628</v>
      </c>
      <c r="Y117" s="1784"/>
      <c r="Z117" s="1784"/>
      <c r="AA117" s="1784"/>
      <c r="AB117" s="1784"/>
      <c r="AC117" s="1784"/>
      <c r="AD117" s="1784"/>
      <c r="AE117" s="1784"/>
      <c r="AF117" s="1784"/>
      <c r="AG117" s="1784"/>
      <c r="AH117" s="1784"/>
      <c r="AI117" s="1784"/>
      <c r="AJ117" s="1784"/>
      <c r="AK117" s="1784"/>
    </row>
    <row r="118" spans="1:117" ht="12.95" customHeight="1">
      <c r="X118" s="3"/>
      <c r="Y118" s="3"/>
      <c r="Z118" s="3" t="s">
        <v>629</v>
      </c>
      <c r="AA118" s="3"/>
      <c r="AB118" s="3"/>
      <c r="AC118" s="3"/>
      <c r="AD118" s="3"/>
      <c r="AE118" s="3"/>
      <c r="AF118" s="3"/>
      <c r="AG118" s="3"/>
      <c r="AH118" s="3"/>
      <c r="AI118" s="3"/>
      <c r="AJ118" s="3"/>
      <c r="AK118" s="3"/>
    </row>
    <row r="119" spans="1:117"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5" customHeight="1">
      <c r="A120" s="91"/>
      <c r="B120" s="3"/>
      <c r="P120" s="3"/>
      <c r="Q120" s="3"/>
      <c r="R120" s="3"/>
      <c r="S120" s="3"/>
      <c r="T120" s="3"/>
      <c r="U120" s="3"/>
      <c r="V120" s="3"/>
      <c r="W120" s="3"/>
      <c r="X120" s="3"/>
      <c r="Y120" s="1784" t="s">
        <v>2612</v>
      </c>
      <c r="Z120" s="1784"/>
      <c r="AA120" s="1784"/>
      <c r="AB120" s="1784"/>
      <c r="AC120" s="1784"/>
      <c r="AD120" s="1784"/>
      <c r="AE120" s="1784"/>
      <c r="AF120" s="1784"/>
      <c r="AG120" s="1784"/>
      <c r="AH120" s="1784"/>
      <c r="AI120" s="1784"/>
      <c r="AJ120" s="1784"/>
      <c r="AK120" s="1784"/>
      <c r="AL120" s="3"/>
      <c r="AM120" s="3"/>
      <c r="AN120" s="3"/>
      <c r="AO120" s="3"/>
      <c r="AP120" s="3"/>
      <c r="AQ120" s="3"/>
      <c r="AR120" s="3"/>
      <c r="AS120" s="3"/>
      <c r="AT120" s="3"/>
      <c r="AU120" s="3"/>
      <c r="AV120" s="3"/>
      <c r="AW120" s="3"/>
      <c r="AX120" s="3"/>
      <c r="AY120" s="3"/>
    </row>
    <row r="121" spans="1:117" ht="12.95" customHeight="1">
      <c r="A121" s="3"/>
      <c r="B121" s="3"/>
      <c r="P121" s="3"/>
      <c r="Q121" s="3"/>
      <c r="R121" s="3"/>
      <c r="S121" s="3"/>
      <c r="T121" s="3"/>
      <c r="U121" s="3"/>
      <c r="V121" s="3"/>
      <c r="W121" s="3"/>
      <c r="X121" s="3"/>
      <c r="Y121" s="3"/>
      <c r="Z121" s="3" t="s">
        <v>630</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5" customHeight="1">
      <c r="A122" s="3"/>
      <c r="B122" s="3"/>
      <c r="T122" s="3"/>
      <c r="U122" s="3"/>
      <c r="V122" s="3"/>
      <c r="W122" s="3"/>
      <c r="AL122" s="3"/>
      <c r="AM122" s="3"/>
      <c r="AN122" s="3"/>
      <c r="AO122" s="3"/>
      <c r="AP122" s="3"/>
      <c r="AQ122" s="3"/>
      <c r="AR122" s="3"/>
      <c r="AS122" s="3"/>
      <c r="AT122" s="3"/>
      <c r="AU122" s="3"/>
      <c r="AV122" s="3"/>
      <c r="AW122" s="3"/>
      <c r="AX122" s="3"/>
      <c r="AY122" s="3"/>
      <c r="CQ122" s="14" t="s">
        <v>632</v>
      </c>
      <c r="CR122" s="14"/>
      <c r="CS122" s="14"/>
      <c r="CT122" s="14"/>
      <c r="CU122" s="1654" t="s">
        <v>469</v>
      </c>
      <c r="CV122" s="1655"/>
      <c r="CW122" s="14"/>
      <c r="CX122" s="14" t="s">
        <v>634</v>
      </c>
      <c r="CY122" s="14"/>
      <c r="CZ122" s="14"/>
      <c r="DA122" s="14"/>
      <c r="DB122" s="14"/>
      <c r="DC122" s="14"/>
      <c r="DD122" s="14"/>
      <c r="DE122" s="14"/>
      <c r="DF122" s="14"/>
      <c r="DG122" s="1651" t="str">
        <f>T189</f>
        <v>San Diego</v>
      </c>
      <c r="DH122" s="1652"/>
      <c r="DI122" s="1652"/>
      <c r="DJ122" s="1652"/>
      <c r="DK122" s="1652"/>
      <c r="DL122" s="1652"/>
      <c r="DM122" s="1653"/>
    </row>
    <row r="123" spans="1:117" ht="12.95" customHeight="1">
      <c r="A123" s="3"/>
      <c r="B123" s="3"/>
      <c r="T123" s="3"/>
      <c r="U123" s="3"/>
      <c r="V123" s="3"/>
      <c r="W123" s="3"/>
      <c r="X123" s="3"/>
      <c r="Y123" s="1784" t="s">
        <v>2624</v>
      </c>
      <c r="Z123" s="1784"/>
      <c r="AA123" s="1784"/>
      <c r="AB123" s="1784"/>
      <c r="AC123" s="1784"/>
      <c r="AD123" s="1784"/>
      <c r="AE123" s="1784"/>
      <c r="AF123" s="1784"/>
      <c r="AG123" s="1784"/>
      <c r="AH123" s="1784"/>
      <c r="AI123" s="1784"/>
      <c r="AJ123" s="1784"/>
      <c r="AK123" s="1784"/>
      <c r="AL123" s="3"/>
      <c r="AM123" s="3"/>
      <c r="AN123" s="3"/>
      <c r="AO123" s="3"/>
      <c r="AP123" s="3"/>
      <c r="AQ123" s="3"/>
      <c r="AR123" s="3"/>
      <c r="AS123" s="3"/>
      <c r="AT123" s="3"/>
      <c r="AU123" s="3"/>
      <c r="AV123" s="3"/>
      <c r="AW123" s="3"/>
      <c r="AX123" s="3"/>
      <c r="AY123" s="3"/>
      <c r="DJ123" s="3"/>
      <c r="DK123" s="3"/>
      <c r="DL123" s="3"/>
      <c r="DM123" s="3"/>
    </row>
    <row r="124" spans="1:117" ht="12.95" customHeight="1">
      <c r="A124" s="3"/>
      <c r="B124" s="3"/>
      <c r="T124" s="3"/>
      <c r="U124" s="3"/>
      <c r="V124" s="3"/>
      <c r="W124" s="3"/>
      <c r="X124" s="3"/>
      <c r="Y124" s="3"/>
      <c r="Z124" s="3" t="s">
        <v>631</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469</v>
      </c>
      <c r="CV124" s="14"/>
      <c r="CW124" s="14"/>
      <c r="CX124" s="14"/>
      <c r="CY124" s="14"/>
      <c r="CZ124" s="14"/>
      <c r="DA124" s="14"/>
      <c r="DB124" s="14"/>
      <c r="DE124" s="32"/>
      <c r="DF124" s="32"/>
      <c r="DG124" s="32"/>
      <c r="DH124" s="32"/>
      <c r="DI124" s="32"/>
      <c r="DJ124" s="14"/>
      <c r="DK124" s="14"/>
      <c r="DL124" s="14"/>
      <c r="DM124" s="14"/>
    </row>
    <row r="125" spans="1:117" ht="12.95"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468</v>
      </c>
      <c r="CV125" s="4"/>
      <c r="CW125" s="14"/>
      <c r="CX125" s="14"/>
      <c r="CY125" s="14"/>
      <c r="CZ125" s="14"/>
      <c r="DA125" s="14"/>
      <c r="DB125" s="14"/>
      <c r="DE125" s="4"/>
      <c r="DF125" s="4"/>
      <c r="DG125" s="4"/>
      <c r="DH125" s="4"/>
      <c r="DI125" s="4"/>
      <c r="DJ125" s="4"/>
      <c r="DK125" s="4"/>
      <c r="DL125" s="4"/>
      <c r="DM125" s="4"/>
    </row>
    <row r="126" spans="1:117" ht="12.95"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2.9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469</v>
      </c>
      <c r="DD127" s="4"/>
      <c r="DE127" s="4"/>
      <c r="DF127" s="4"/>
      <c r="DG127" s="4"/>
      <c r="DH127" s="4"/>
      <c r="DI127" s="4"/>
      <c r="DJ127" s="4"/>
      <c r="DK127" s="4"/>
      <c r="DL127" s="4"/>
      <c r="DM127" s="4"/>
    </row>
    <row r="128" spans="1:117" ht="12.95" customHeight="1">
      <c r="A128" s="354"/>
      <c r="AL128" s="354"/>
      <c r="AM128" s="354"/>
      <c r="AN128" s="354"/>
      <c r="AO128" s="354"/>
      <c r="AP128" s="354"/>
      <c r="AQ128" s="354"/>
      <c r="AR128" s="354"/>
      <c r="AS128" s="354"/>
      <c r="AT128" s="354"/>
      <c r="AU128" s="354"/>
      <c r="AV128" s="354"/>
      <c r="AW128" s="354"/>
      <c r="AX128" s="354"/>
      <c r="AY128" s="354"/>
    </row>
    <row r="129" spans="1:51" ht="12.95"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2.95"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customHeight="1">
      <c r="A131" s="3"/>
      <c r="AL131" s="3"/>
      <c r="AM131" s="3"/>
      <c r="AN131" s="3"/>
      <c r="AO131" s="3"/>
      <c r="AP131" s="3"/>
      <c r="AQ131" s="3"/>
      <c r="AR131" s="3"/>
      <c r="AS131" s="3"/>
      <c r="AT131" s="3"/>
      <c r="AU131" s="3"/>
      <c r="AV131" s="3"/>
      <c r="AW131" s="3"/>
      <c r="AX131" s="3"/>
      <c r="AY131" s="3"/>
    </row>
    <row r="132" spans="1:51" ht="12.95"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2.95" customHeight="1">
      <c r="A133" s="3"/>
      <c r="W133" s="3"/>
      <c r="AL133" s="3"/>
      <c r="AM133" s="3"/>
      <c r="AN133" s="3"/>
      <c r="AO133" s="3"/>
      <c r="AP133" s="3"/>
      <c r="AQ133" s="3"/>
      <c r="AR133" s="3"/>
      <c r="AS133" s="3"/>
      <c r="AT133" s="3"/>
      <c r="AU133" s="3"/>
      <c r="AV133" s="3"/>
      <c r="AW133" s="3"/>
      <c r="AX133" s="3"/>
      <c r="AY133" s="3"/>
    </row>
    <row r="134" spans="1:51" ht="12.9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customHeight="1">
      <c r="A135" s="3"/>
      <c r="M135" s="3"/>
      <c r="N135" s="3"/>
      <c r="O135" s="3"/>
      <c r="AK135" s="3"/>
      <c r="AL135" s="3"/>
      <c r="AM135" s="3"/>
      <c r="AN135" s="3"/>
      <c r="AO135" s="3"/>
      <c r="AP135" s="3"/>
      <c r="AQ135" s="3"/>
      <c r="AR135" s="3"/>
      <c r="AS135" s="3"/>
      <c r="AT135" s="3"/>
      <c r="AU135" s="3"/>
      <c r="AV135" s="3"/>
      <c r="AW135" s="3"/>
      <c r="AX135" s="3"/>
      <c r="AY135" s="3"/>
    </row>
    <row r="136" spans="1:51" ht="12.9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2.95"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2.95"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2.95"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2.95"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2.95"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2.95"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2.95"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2.95"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306</v>
      </c>
    </row>
    <row r="149" spans="1:108"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875</v>
      </c>
    </row>
    <row r="150" spans="1:108" ht="12.95" customHeight="1">
      <c r="A150" s="3"/>
      <c r="B150" s="3"/>
      <c r="D150" s="3"/>
      <c r="E150" s="3"/>
      <c r="F150" s="1378"/>
      <c r="G150" s="1378"/>
      <c r="H150" s="1378"/>
      <c r="I150" s="1378"/>
      <c r="J150" s="1378"/>
      <c r="K150" s="1378"/>
      <c r="L150" s="1378"/>
      <c r="M150" s="1378"/>
      <c r="N150" s="1378"/>
      <c r="O150" s="1378"/>
      <c r="P150" s="1378"/>
      <c r="Q150" s="1378"/>
      <c r="R150" s="1378"/>
      <c r="S150" s="1378"/>
      <c r="T150" s="1378"/>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2465</v>
      </c>
    </row>
    <row r="152" spans="1:108" ht="12.95" customHeight="1">
      <c r="BM152">
        <v>4</v>
      </c>
      <c r="BN152" s="3" t="s">
        <v>2464</v>
      </c>
    </row>
    <row r="153" spans="1:108" ht="12.95" customHeight="1">
      <c r="D153" t="s">
        <v>645</v>
      </c>
      <c r="O153" s="1462" t="s">
        <v>2620</v>
      </c>
      <c r="P153" s="1463"/>
      <c r="Q153" s="1463"/>
      <c r="R153" s="1463"/>
      <c r="S153" s="1463"/>
      <c r="T153" s="1463"/>
      <c r="U153" s="1463"/>
      <c r="V153" s="1463"/>
      <c r="W153" s="1463"/>
      <c r="X153" s="1463"/>
      <c r="Y153" s="1463"/>
      <c r="Z153" s="1463"/>
      <c r="AA153" s="1463"/>
      <c r="AB153" s="1463"/>
      <c r="AC153" s="1463"/>
      <c r="AD153" s="1463"/>
      <c r="AE153" s="1463"/>
      <c r="AF153" s="1463"/>
      <c r="AG153" s="1463"/>
      <c r="AH153" s="1463"/>
      <c r="BM153">
        <v>5</v>
      </c>
      <c r="BN153" s="3" t="s">
        <v>2466</v>
      </c>
      <c r="CR153" s="31" t="s">
        <v>2599</v>
      </c>
      <c r="CS153" s="32"/>
      <c r="CT153" s="32"/>
      <c r="CU153" s="32"/>
      <c r="CV153" s="32"/>
      <c r="CW153" s="32"/>
      <c r="CX153" s="14"/>
      <c r="CY153" s="31" t="s">
        <v>2600</v>
      </c>
      <c r="CZ153" s="14"/>
      <c r="DA153" s="14"/>
      <c r="DB153" s="14"/>
      <c r="DC153" s="14"/>
      <c r="DD153" s="14"/>
    </row>
    <row r="154" spans="1:108" ht="12.95" customHeight="1">
      <c r="D154" s="303" t="s">
        <v>439</v>
      </c>
      <c r="O154" s="1582" t="s">
        <v>2618</v>
      </c>
      <c r="P154" s="1483"/>
      <c r="Q154" s="1483"/>
      <c r="R154" s="1483"/>
      <c r="S154" s="1483"/>
      <c r="T154" s="1483"/>
      <c r="U154" s="1483"/>
      <c r="V154" s="1483"/>
      <c r="W154" s="1483"/>
      <c r="X154" s="1483"/>
      <c r="Y154" s="1483"/>
      <c r="Z154" s="1483"/>
      <c r="AA154" s="1483"/>
      <c r="AB154" s="1483"/>
      <c r="AC154" s="1483"/>
      <c r="AD154" s="1483"/>
      <c r="AE154" s="1483"/>
      <c r="AF154" s="1483"/>
      <c r="AG154" s="1483"/>
      <c r="AH154" s="1483"/>
      <c r="BM154">
        <v>6</v>
      </c>
      <c r="BN154" s="3" t="s">
        <v>2467</v>
      </c>
      <c r="CR154" s="31"/>
      <c r="CS154" s="32"/>
      <c r="CT154" s="32"/>
      <c r="CU154" s="32"/>
      <c r="CV154" s="32"/>
      <c r="CW154" s="32"/>
      <c r="CX154" s="14"/>
      <c r="CY154" s="31"/>
      <c r="CZ154" s="14"/>
      <c r="DA154" s="14"/>
      <c r="DB154" s="14"/>
      <c r="DC154" s="14"/>
      <c r="DD154" s="14"/>
    </row>
    <row r="155" spans="1:108" ht="12.95" customHeight="1">
      <c r="D155" s="8" t="s">
        <v>441</v>
      </c>
      <c r="F155" s="8"/>
      <c r="G155" s="8"/>
      <c r="H155" s="8"/>
      <c r="I155" s="8"/>
      <c r="J155" s="8"/>
      <c r="K155" s="8"/>
      <c r="L155" s="8"/>
      <c r="M155" s="8"/>
      <c r="N155" s="8"/>
      <c r="O155" s="1804" t="s">
        <v>440</v>
      </c>
      <c r="P155" s="1804"/>
      <c r="Q155" s="1804"/>
      <c r="R155" s="1804"/>
      <c r="S155" s="1804"/>
      <c r="T155" s="1804"/>
      <c r="U155" s="1804"/>
      <c r="V155" s="1804"/>
      <c r="W155" s="1804"/>
      <c r="X155" s="1804"/>
      <c r="Y155" s="1804"/>
      <c r="Z155" s="1804"/>
      <c r="AA155" s="1804"/>
      <c r="AB155" s="1804"/>
      <c r="AC155" s="1804"/>
      <c r="AD155" s="1804"/>
      <c r="AE155" s="1804"/>
      <c r="AF155" s="1804"/>
      <c r="AG155" s="1804"/>
      <c r="AH155" s="1804"/>
      <c r="BM155">
        <v>7</v>
      </c>
      <c r="BN155" s="3" t="s">
        <v>591</v>
      </c>
      <c r="CR155" s="31"/>
      <c r="CS155" s="32"/>
      <c r="CT155" s="32"/>
      <c r="CU155" s="32"/>
      <c r="CV155" s="32"/>
      <c r="CW155" s="32"/>
      <c r="CX155" s="14"/>
      <c r="CY155" s="31"/>
      <c r="CZ155" s="14"/>
      <c r="DA155" s="14"/>
      <c r="DB155" s="14"/>
      <c r="DC155" s="14"/>
      <c r="DD155" s="14"/>
    </row>
    <row r="156" spans="1:108" ht="12.95" customHeight="1">
      <c r="D156" t="s">
        <v>312</v>
      </c>
      <c r="O156" s="1393" t="s">
        <v>2619</v>
      </c>
      <c r="P156" s="1393"/>
      <c r="Q156" s="1393"/>
      <c r="R156" s="1393"/>
      <c r="S156" s="1393"/>
      <c r="T156" s="1393"/>
      <c r="U156" s="1393"/>
      <c r="V156" s="1393"/>
      <c r="W156" s="1393"/>
      <c r="X156" s="1393"/>
      <c r="Y156" s="1393"/>
      <c r="Z156" s="1393"/>
      <c r="AA156" s="1393"/>
      <c r="AB156" s="1393"/>
      <c r="AC156" s="1393"/>
      <c r="AD156" s="1393"/>
      <c r="AE156" s="1393"/>
      <c r="AF156" s="1393"/>
      <c r="AG156" s="1393"/>
      <c r="AH156" s="1393"/>
      <c r="BT156" t="s">
        <v>306</v>
      </c>
      <c r="CB156" s="195" t="s">
        <v>2223</v>
      </c>
      <c r="CC156" s="196"/>
      <c r="CD156" s="196"/>
      <c r="CE156" s="196"/>
      <c r="CF156" s="196"/>
      <c r="CG156" s="196"/>
      <c r="CH156" s="196"/>
      <c r="CI156" s="3"/>
      <c r="CJ156" s="195" t="s">
        <v>2607</v>
      </c>
      <c r="CK156" s="3"/>
      <c r="CL156" s="3"/>
      <c r="CM156" s="3"/>
      <c r="CN156" s="3"/>
      <c r="CR156" s="31"/>
      <c r="CS156" s="32"/>
      <c r="CT156" s="32"/>
      <c r="CU156" s="32"/>
      <c r="CV156" s="32"/>
      <c r="CW156" s="32"/>
      <c r="CX156" s="14"/>
      <c r="CY156" s="31"/>
      <c r="CZ156" s="14"/>
      <c r="DA156" s="14"/>
      <c r="DB156" s="14"/>
      <c r="DC156" s="14"/>
      <c r="DD156" s="14"/>
    </row>
    <row r="157" spans="1:108" ht="12.95" customHeight="1">
      <c r="D157" t="s">
        <v>313</v>
      </c>
      <c r="O157" s="1462" t="s">
        <v>2620</v>
      </c>
      <c r="P157" s="1462"/>
      <c r="Q157" s="1462"/>
      <c r="R157" s="1462"/>
      <c r="S157" s="1462"/>
      <c r="T157" s="1462"/>
      <c r="U157" s="1462"/>
      <c r="V157" s="1462"/>
      <c r="W157" s="1462"/>
      <c r="X157" s="1462"/>
      <c r="Y157" s="8"/>
      <c r="Z157" s="8"/>
      <c r="AA157" s="8"/>
      <c r="AB157" s="8"/>
      <c r="AC157" s="8"/>
      <c r="AD157" s="8"/>
      <c r="AE157" s="8"/>
      <c r="AF157" s="8"/>
      <c r="BN157" s="23" t="s">
        <v>636</v>
      </c>
      <c r="BS157">
        <v>2</v>
      </c>
      <c r="BT157" t="s">
        <v>476</v>
      </c>
      <c r="CB157" s="286" t="s">
        <v>647</v>
      </c>
      <c r="CC157" s="196"/>
      <c r="CD157" s="196"/>
      <c r="CE157" s="196"/>
      <c r="CF157" s="196"/>
      <c r="CG157" s="196"/>
      <c r="CH157" s="196"/>
      <c r="CI157" s="3"/>
      <c r="CJ157" s="286" t="s">
        <v>1932</v>
      </c>
      <c r="CK157" s="3"/>
      <c r="CL157" s="3"/>
      <c r="CM157" s="3"/>
      <c r="CN157" s="3"/>
      <c r="CR157" s="14"/>
      <c r="CS157" s="32"/>
      <c r="CT157" s="32"/>
      <c r="CU157" s="32"/>
      <c r="CV157" s="32"/>
      <c r="CW157" s="32"/>
      <c r="CX157" s="14"/>
      <c r="CY157" s="14"/>
      <c r="CZ157" s="14"/>
      <c r="DA157" s="14"/>
      <c r="DB157" s="14"/>
      <c r="DC157" s="14"/>
      <c r="DD157" s="14"/>
    </row>
    <row r="158" spans="1:108" ht="12.95" customHeight="1">
      <c r="D158" t="s">
        <v>314</v>
      </c>
      <c r="O158" s="1787">
        <v>92101</v>
      </c>
      <c r="P158" s="1787"/>
      <c r="Q158" s="1787"/>
      <c r="R158" s="1787"/>
      <c r="S158" s="9"/>
      <c r="T158" s="9"/>
      <c r="U158" s="9"/>
      <c r="V158" s="9"/>
      <c r="W158" s="9"/>
      <c r="X158" s="9"/>
      <c r="Y158" s="9"/>
      <c r="Z158" s="9"/>
      <c r="AA158" s="9"/>
      <c r="AB158" s="9"/>
      <c r="AC158" s="9"/>
      <c r="AD158" s="9"/>
      <c r="AE158" s="9"/>
      <c r="AF158" s="9"/>
      <c r="BN158" s="23" t="s">
        <v>637</v>
      </c>
      <c r="BS158">
        <v>7</v>
      </c>
      <c r="BT158" t="s">
        <v>477</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2.95" customHeight="1" thickBot="1">
      <c r="D159" t="s">
        <v>315</v>
      </c>
      <c r="O159" s="1789" t="s">
        <v>2621</v>
      </c>
      <c r="P159" s="1789"/>
      <c r="Q159" s="1789"/>
      <c r="R159" s="1789"/>
      <c r="S159" s="1789"/>
      <c r="T159" s="1789"/>
      <c r="V159" s="97" t="s">
        <v>270</v>
      </c>
      <c r="W159" s="1788"/>
      <c r="X159" s="1788"/>
      <c r="Y159" s="10"/>
      <c r="Z159" s="10"/>
      <c r="AA159" s="10"/>
      <c r="AB159" s="10"/>
      <c r="AC159" s="10"/>
      <c r="AD159" s="10"/>
      <c r="AE159" s="10"/>
      <c r="AF159" s="10"/>
      <c r="BN159" s="23" t="s">
        <v>338</v>
      </c>
      <c r="BS159">
        <v>7</v>
      </c>
      <c r="BT159" t="s">
        <v>478</v>
      </c>
      <c r="CB159" s="347" t="s">
        <v>648</v>
      </c>
      <c r="CC159" s="348" t="s">
        <v>323</v>
      </c>
      <c r="CD159" s="348" t="s">
        <v>324</v>
      </c>
      <c r="CE159" s="348" t="s">
        <v>163</v>
      </c>
      <c r="CF159" s="348" t="s">
        <v>164</v>
      </c>
      <c r="CG159" s="348" t="s">
        <v>165</v>
      </c>
      <c r="CH159" s="348" t="s">
        <v>30</v>
      </c>
      <c r="CI159" s="3"/>
      <c r="CJ159" s="348" t="s">
        <v>323</v>
      </c>
      <c r="CK159" s="348" t="s">
        <v>324</v>
      </c>
      <c r="CL159" s="348" t="s">
        <v>163</v>
      </c>
      <c r="CM159" s="348" t="s">
        <v>164</v>
      </c>
      <c r="CN159" s="348" t="s">
        <v>165</v>
      </c>
      <c r="CR159" s="14"/>
      <c r="CS159" s="71" t="s">
        <v>633</v>
      </c>
      <c r="CT159" s="72" t="s">
        <v>324</v>
      </c>
      <c r="CU159" s="72" t="s">
        <v>163</v>
      </c>
      <c r="CV159" s="72" t="s">
        <v>164</v>
      </c>
      <c r="CW159" s="72" t="s">
        <v>460</v>
      </c>
      <c r="CX159" s="14"/>
      <c r="CY159" s="14"/>
      <c r="CZ159" s="71" t="s">
        <v>633</v>
      </c>
      <c r="DA159" s="72" t="s">
        <v>324</v>
      </c>
      <c r="DB159" s="72" t="s">
        <v>163</v>
      </c>
      <c r="DC159" s="72" t="s">
        <v>164</v>
      </c>
      <c r="DD159" s="72" t="s">
        <v>460</v>
      </c>
    </row>
    <row r="160" spans="1:108" ht="12.95" customHeight="1">
      <c r="D160" t="s">
        <v>316</v>
      </c>
      <c r="O160" s="1789" t="s">
        <v>2622</v>
      </c>
      <c r="P160" s="1789"/>
      <c r="Q160" s="1789"/>
      <c r="R160" s="1789"/>
      <c r="S160" s="1789"/>
      <c r="T160" s="1789"/>
      <c r="U160" s="10"/>
      <c r="V160" s="10"/>
      <c r="W160" s="10"/>
      <c r="X160" s="10"/>
      <c r="Y160" s="10"/>
      <c r="Z160" s="10"/>
      <c r="AA160" s="10"/>
      <c r="AB160" s="10"/>
      <c r="AC160" s="10"/>
      <c r="AD160" s="10"/>
      <c r="AE160" s="10"/>
      <c r="AF160" s="10"/>
      <c r="BN160" s="23" t="s">
        <v>660</v>
      </c>
      <c r="BS160">
        <v>6</v>
      </c>
      <c r="BT160" t="s">
        <v>479</v>
      </c>
      <c r="CB160" s="349" t="s">
        <v>476</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636</v>
      </c>
      <c r="CS160" s="323">
        <v>473390</v>
      </c>
      <c r="CT160" s="323">
        <v>545814</v>
      </c>
      <c r="CU160" s="323">
        <v>658400</v>
      </c>
      <c r="CV160" s="323">
        <v>842752</v>
      </c>
      <c r="CW160" s="323">
        <v>938878</v>
      </c>
      <c r="CX160" s="14"/>
      <c r="CY160" s="23" t="s">
        <v>636</v>
      </c>
      <c r="CZ160" s="323">
        <v>473390</v>
      </c>
      <c r="DA160" s="323">
        <v>545814</v>
      </c>
      <c r="DB160" s="323">
        <v>658400</v>
      </c>
      <c r="DC160" s="323">
        <v>842752</v>
      </c>
      <c r="DD160" s="323">
        <v>938878</v>
      </c>
    </row>
    <row r="161" spans="1:108" ht="12.95" customHeight="1">
      <c r="D161" t="s">
        <v>317</v>
      </c>
      <c r="O161" s="1780" t="s">
        <v>2623</v>
      </c>
      <c r="P161" s="1780"/>
      <c r="Q161" s="1780"/>
      <c r="R161" s="1780"/>
      <c r="S161" s="1780"/>
      <c r="T161" s="1780"/>
      <c r="U161" s="1780"/>
      <c r="V161" s="1780"/>
      <c r="W161" s="1780"/>
      <c r="X161" s="1780"/>
      <c r="Y161" s="1780"/>
      <c r="Z161" s="1780"/>
      <c r="AA161" s="1780"/>
      <c r="AB161" s="1780"/>
      <c r="AC161" s="1780"/>
      <c r="AD161" s="1780"/>
      <c r="AE161" s="1780"/>
      <c r="AF161" s="1780"/>
      <c r="AG161" s="1780"/>
      <c r="AH161" s="1780"/>
      <c r="BJ161" t="s">
        <v>669</v>
      </c>
      <c r="BN161" s="23" t="s">
        <v>661</v>
      </c>
      <c r="BS161">
        <v>7</v>
      </c>
      <c r="BT161" t="s">
        <v>480</v>
      </c>
      <c r="CB161" s="350" t="s">
        <v>477</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637</v>
      </c>
      <c r="CS161" s="321">
        <v>352022</v>
      </c>
      <c r="CT161" s="321">
        <v>405878</v>
      </c>
      <c r="CU161" s="321">
        <v>489600</v>
      </c>
      <c r="CV161" s="321">
        <v>626688</v>
      </c>
      <c r="CW161" s="321">
        <v>698170</v>
      </c>
      <c r="CX161" s="14"/>
      <c r="CY161" s="23" t="s">
        <v>637</v>
      </c>
      <c r="CZ161" s="321">
        <v>352022</v>
      </c>
      <c r="DA161" s="321">
        <v>405878</v>
      </c>
      <c r="DB161" s="321">
        <v>489600</v>
      </c>
      <c r="DC161" s="321">
        <v>626688</v>
      </c>
      <c r="DD161" s="321">
        <v>698170</v>
      </c>
    </row>
    <row r="162" spans="1:108"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545</v>
      </c>
      <c r="BN162" s="23" t="s">
        <v>662</v>
      </c>
      <c r="BS162">
        <v>7</v>
      </c>
      <c r="BT162" t="s">
        <v>481</v>
      </c>
      <c r="CB162" s="350" t="s">
        <v>478</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338</v>
      </c>
      <c r="CS162" s="323">
        <v>352022</v>
      </c>
      <c r="CT162" s="323">
        <v>405878</v>
      </c>
      <c r="CU162" s="323">
        <v>489600</v>
      </c>
      <c r="CV162" s="323">
        <v>626688</v>
      </c>
      <c r="CW162" s="323">
        <v>698170</v>
      </c>
      <c r="CX162" s="14"/>
      <c r="CY162" s="23" t="s">
        <v>338</v>
      </c>
      <c r="CZ162" s="323">
        <v>352022</v>
      </c>
      <c r="DA162" s="323">
        <v>405878</v>
      </c>
      <c r="DB162" s="323">
        <v>489600</v>
      </c>
      <c r="DC162" s="323">
        <v>626688</v>
      </c>
      <c r="DD162" s="323">
        <v>698170</v>
      </c>
    </row>
    <row r="163" spans="1:108" ht="12.95" customHeight="1">
      <c r="C163" s="27" t="s">
        <v>82</v>
      </c>
      <c r="D163" s="3" t="s">
        <v>2096</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663</v>
      </c>
      <c r="BS163">
        <v>2</v>
      </c>
      <c r="BT163" t="s">
        <v>482</v>
      </c>
      <c r="CB163" s="350" t="s">
        <v>479</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660</v>
      </c>
      <c r="CS163" s="321">
        <v>319236</v>
      </c>
      <c r="CT163" s="321">
        <v>368076</v>
      </c>
      <c r="CU163" s="321">
        <v>444000</v>
      </c>
      <c r="CV163" s="321">
        <v>568320</v>
      </c>
      <c r="CW163" s="321">
        <v>633144</v>
      </c>
      <c r="CX163" s="14"/>
      <c r="CY163" s="23" t="s">
        <v>660</v>
      </c>
      <c r="CZ163" s="321">
        <v>319236</v>
      </c>
      <c r="DA163" s="321">
        <v>368076</v>
      </c>
      <c r="DB163" s="321">
        <v>444000</v>
      </c>
      <c r="DC163" s="321">
        <v>568320</v>
      </c>
      <c r="DD163" s="321">
        <v>633144</v>
      </c>
    </row>
    <row r="164" spans="1:108" ht="12.95" customHeight="1">
      <c r="C164" s="27"/>
      <c r="D164" s="1799" t="s">
        <v>2216</v>
      </c>
      <c r="E164" s="1799"/>
      <c r="F164" s="1799"/>
      <c r="G164" s="1799"/>
      <c r="H164" s="1799"/>
      <c r="I164" s="1799"/>
      <c r="J164" s="1799"/>
      <c r="K164" s="1799"/>
      <c r="L164" s="1799"/>
      <c r="M164" s="1799"/>
      <c r="N164" s="1799"/>
      <c r="O164" s="1799"/>
      <c r="P164" s="1799"/>
      <c r="Q164" s="1799"/>
      <c r="R164" s="1799"/>
      <c r="S164" s="1799"/>
      <c r="T164" s="1799"/>
      <c r="U164" s="1799"/>
      <c r="V164" s="1799"/>
      <c r="W164" s="1799"/>
      <c r="X164" s="1799"/>
      <c r="Y164" s="1799"/>
      <c r="Z164" s="1799"/>
      <c r="AA164" s="1799"/>
      <c r="AB164" s="1799"/>
      <c r="AC164" s="1799"/>
      <c r="AD164" s="1799"/>
      <c r="AE164" s="1799"/>
      <c r="AF164" s="1799"/>
      <c r="AG164" s="1799"/>
      <c r="AH164" s="1799"/>
      <c r="BN164" s="23" t="s">
        <v>664</v>
      </c>
      <c r="BS164">
        <v>7</v>
      </c>
      <c r="BT164" t="s">
        <v>483</v>
      </c>
      <c r="CB164" s="350" t="s">
        <v>480</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661</v>
      </c>
      <c r="CS164" s="323">
        <v>352022</v>
      </c>
      <c r="CT164" s="323">
        <v>405878</v>
      </c>
      <c r="CU164" s="323">
        <v>489600</v>
      </c>
      <c r="CV164" s="323">
        <v>626688</v>
      </c>
      <c r="CW164" s="323">
        <v>698170</v>
      </c>
      <c r="CX164" s="14"/>
      <c r="CY164" s="23" t="s">
        <v>661</v>
      </c>
      <c r="CZ164" s="323">
        <v>352022</v>
      </c>
      <c r="DA164" s="323">
        <v>405878</v>
      </c>
      <c r="DB164" s="323">
        <v>489600</v>
      </c>
      <c r="DC164" s="323">
        <v>626688</v>
      </c>
      <c r="DD164" s="323">
        <v>698170</v>
      </c>
    </row>
    <row r="165" spans="1:108"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665</v>
      </c>
      <c r="BS165">
        <v>6</v>
      </c>
      <c r="BT165" t="s">
        <v>484</v>
      </c>
      <c r="CB165" s="350" t="s">
        <v>481</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662</v>
      </c>
      <c r="CS165" s="321">
        <v>352022</v>
      </c>
      <c r="CT165" s="321">
        <v>405878</v>
      </c>
      <c r="CU165" s="321">
        <v>489600</v>
      </c>
      <c r="CV165" s="321">
        <v>626688</v>
      </c>
      <c r="CW165" s="321">
        <v>698170</v>
      </c>
      <c r="CX165" s="14"/>
      <c r="CY165" s="23" t="s">
        <v>662</v>
      </c>
      <c r="CZ165" s="321">
        <v>352022</v>
      </c>
      <c r="DA165" s="321">
        <v>405878</v>
      </c>
      <c r="DB165" s="321">
        <v>489600</v>
      </c>
      <c r="DC165" s="321">
        <v>626688</v>
      </c>
      <c r="DD165" s="321">
        <v>698170</v>
      </c>
    </row>
    <row r="166" spans="1:108"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667</v>
      </c>
      <c r="BS166">
        <v>5</v>
      </c>
      <c r="BT166" t="s">
        <v>485</v>
      </c>
      <c r="CB166" s="350" t="s">
        <v>482</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663</v>
      </c>
      <c r="CS166" s="323">
        <v>473390</v>
      </c>
      <c r="CT166" s="323">
        <v>545814</v>
      </c>
      <c r="CU166" s="323">
        <v>658400</v>
      </c>
      <c r="CV166" s="323">
        <v>842752</v>
      </c>
      <c r="CW166" s="323">
        <v>938878</v>
      </c>
      <c r="CX166" s="14"/>
      <c r="CY166" s="23" t="s">
        <v>663</v>
      </c>
      <c r="CZ166" s="323">
        <v>473390</v>
      </c>
      <c r="DA166" s="323">
        <v>545814</v>
      </c>
      <c r="DB166" s="323">
        <v>658400</v>
      </c>
      <c r="DC166" s="323">
        <v>842752</v>
      </c>
      <c r="DD166" s="323">
        <v>938878</v>
      </c>
    </row>
    <row r="167" spans="1:108"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670</v>
      </c>
      <c r="BS167">
        <v>7</v>
      </c>
      <c r="BT167" t="s">
        <v>486</v>
      </c>
      <c r="CB167" s="350" t="s">
        <v>483</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664</v>
      </c>
      <c r="CS167" s="321">
        <v>352022</v>
      </c>
      <c r="CT167" s="321">
        <v>405878</v>
      </c>
      <c r="CU167" s="321">
        <v>489600</v>
      </c>
      <c r="CV167" s="321">
        <v>626688</v>
      </c>
      <c r="CW167" s="321">
        <v>698170</v>
      </c>
      <c r="CX167" s="14"/>
      <c r="CY167" s="23" t="s">
        <v>664</v>
      </c>
      <c r="CZ167" s="321">
        <v>352022</v>
      </c>
      <c r="DA167" s="321">
        <v>405878</v>
      </c>
      <c r="DB167" s="321">
        <v>489600</v>
      </c>
      <c r="DC167" s="321">
        <v>626688</v>
      </c>
      <c r="DD167" s="321">
        <v>698170</v>
      </c>
    </row>
    <row r="168" spans="1:108"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671</v>
      </c>
      <c r="BS168">
        <v>7</v>
      </c>
      <c r="BT168" t="s">
        <v>487</v>
      </c>
      <c r="CB168" s="350" t="s">
        <v>484</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665</v>
      </c>
      <c r="CS168" s="323">
        <v>331890</v>
      </c>
      <c r="CT168" s="323">
        <v>382666</v>
      </c>
      <c r="CU168" s="323">
        <v>461600</v>
      </c>
      <c r="CV168" s="323">
        <v>590848</v>
      </c>
      <c r="CW168" s="323">
        <v>658242</v>
      </c>
      <c r="CX168" s="14"/>
      <c r="CY168" s="23" t="s">
        <v>665</v>
      </c>
      <c r="CZ168" s="323">
        <v>331890</v>
      </c>
      <c r="DA168" s="323">
        <v>382666</v>
      </c>
      <c r="DB168" s="323">
        <v>461600</v>
      </c>
      <c r="DC168" s="323">
        <v>590848</v>
      </c>
      <c r="DD168" s="323">
        <v>658242</v>
      </c>
    </row>
    <row r="169" spans="1:108" ht="12.95" customHeight="1">
      <c r="A169" s="1365" t="s">
        <v>539</v>
      </c>
      <c r="B169" s="1365"/>
      <c r="C169" s="1365"/>
      <c r="D169" s="1365"/>
      <c r="E169" s="1365"/>
      <c r="F169" s="1365"/>
      <c r="G169" s="1365"/>
      <c r="H169" s="1365"/>
      <c r="I169" s="1365"/>
      <c r="J169" s="1365"/>
      <c r="K169" s="1365"/>
      <c r="L169" s="1365"/>
      <c r="M169" s="1365"/>
      <c r="N169" s="1365"/>
      <c r="O169" s="1365"/>
      <c r="P169" s="1365"/>
      <c r="Q169" s="1365"/>
      <c r="R169" s="1365"/>
      <c r="S169" s="1365"/>
      <c r="T169" s="1365"/>
      <c r="U169" s="1365"/>
      <c r="V169" s="1365"/>
      <c r="W169" s="1365"/>
      <c r="X169" s="1365"/>
      <c r="Y169" s="1365"/>
      <c r="Z169" s="1365"/>
      <c r="AA169" s="1365"/>
      <c r="AB169" s="1365"/>
      <c r="AC169" s="1365"/>
      <c r="AD169" s="1365"/>
      <c r="AE169" s="1365"/>
      <c r="AF169" s="1365"/>
      <c r="AG169" s="1365"/>
      <c r="AH169" s="1365"/>
      <c r="AI169" s="1365"/>
      <c r="AJ169" s="1365"/>
      <c r="AK169" s="1365"/>
      <c r="AL169" s="1365"/>
      <c r="AM169" s="1365"/>
      <c r="AN169" s="1365"/>
      <c r="AO169" s="1365"/>
      <c r="AP169" s="1365"/>
      <c r="AQ169" s="1365"/>
      <c r="AR169" s="1365"/>
      <c r="AS169" s="1365"/>
      <c r="AT169" s="1365"/>
      <c r="AU169" s="95"/>
      <c r="AV169" s="95"/>
      <c r="AW169" s="95"/>
      <c r="AX169" s="95"/>
      <c r="AY169" s="95"/>
      <c r="BN169" s="23" t="s">
        <v>673</v>
      </c>
      <c r="BS169">
        <v>5</v>
      </c>
      <c r="BT169" t="s">
        <v>488</v>
      </c>
      <c r="CB169" s="350" t="s">
        <v>485</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667</v>
      </c>
      <c r="CS169" s="321">
        <v>307732</v>
      </c>
      <c r="CT169" s="321">
        <v>354812</v>
      </c>
      <c r="CU169" s="321">
        <v>428000</v>
      </c>
      <c r="CV169" s="321">
        <v>547840</v>
      </c>
      <c r="CW169" s="321">
        <v>610328</v>
      </c>
      <c r="CX169" s="14"/>
      <c r="CY169" s="23" t="s">
        <v>667</v>
      </c>
      <c r="CZ169" s="321">
        <v>307732</v>
      </c>
      <c r="DA169" s="321">
        <v>354812</v>
      </c>
      <c r="DB169" s="321">
        <v>428000</v>
      </c>
      <c r="DC169" s="321">
        <v>547840</v>
      </c>
      <c r="DD169" s="321">
        <v>610328</v>
      </c>
    </row>
    <row r="170" spans="1:108" ht="12.95" customHeight="1">
      <c r="A170" s="1365"/>
      <c r="B170" s="1365"/>
      <c r="C170" s="1365"/>
      <c r="D170" s="1365"/>
      <c r="E170" s="1365"/>
      <c r="F170" s="1365"/>
      <c r="G170" s="1365"/>
      <c r="H170" s="1365"/>
      <c r="I170" s="1365"/>
      <c r="J170" s="1365"/>
      <c r="K170" s="1365"/>
      <c r="L170" s="1365"/>
      <c r="M170" s="1365"/>
      <c r="N170" s="1365"/>
      <c r="O170" s="1365"/>
      <c r="P170" s="1365"/>
      <c r="Q170" s="1365"/>
      <c r="R170" s="1365"/>
      <c r="S170" s="1365"/>
      <c r="T170" s="1365"/>
      <c r="U170" s="1365"/>
      <c r="V170" s="1365"/>
      <c r="W170" s="1365"/>
      <c r="X170" s="1365"/>
      <c r="Y170" s="1365"/>
      <c r="Z170" s="1365"/>
      <c r="AA170" s="1365"/>
      <c r="AB170" s="1365"/>
      <c r="AC170" s="1365"/>
      <c r="AD170" s="1365"/>
      <c r="AE170" s="1365"/>
      <c r="AF170" s="1365"/>
      <c r="AG170" s="1365"/>
      <c r="AH170" s="1365"/>
      <c r="AI170" s="1365"/>
      <c r="AJ170" s="1365"/>
      <c r="AK170" s="1365"/>
      <c r="AL170" s="1365"/>
      <c r="AM170" s="1365"/>
      <c r="AN170" s="1365"/>
      <c r="AO170" s="1365"/>
      <c r="AP170" s="1365"/>
      <c r="AQ170" s="1365"/>
      <c r="AR170" s="1365"/>
      <c r="AS170" s="1365"/>
      <c r="AT170" s="1365"/>
      <c r="AU170" s="95"/>
      <c r="AV170" s="95"/>
      <c r="AW170" s="95"/>
      <c r="AX170" s="95"/>
      <c r="AY170" s="95"/>
      <c r="BN170" s="23" t="s">
        <v>674</v>
      </c>
      <c r="BS170">
        <v>7</v>
      </c>
      <c r="BT170" t="s">
        <v>489</v>
      </c>
      <c r="CB170" s="350" t="s">
        <v>486</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670</v>
      </c>
      <c r="CS170" s="323">
        <v>352022</v>
      </c>
      <c r="CT170" s="323">
        <v>405878</v>
      </c>
      <c r="CU170" s="323">
        <v>489600</v>
      </c>
      <c r="CV170" s="323">
        <v>626688</v>
      </c>
      <c r="CW170" s="323">
        <v>698170</v>
      </c>
      <c r="CX170" s="14"/>
      <c r="CY170" s="23" t="s">
        <v>670</v>
      </c>
      <c r="CZ170" s="323">
        <v>352022</v>
      </c>
      <c r="DA170" s="323">
        <v>405878</v>
      </c>
      <c r="DB170" s="323">
        <v>489600</v>
      </c>
      <c r="DC170" s="323">
        <v>626688</v>
      </c>
      <c r="DD170" s="323">
        <v>698170</v>
      </c>
    </row>
    <row r="171" spans="1:108" ht="12.95" customHeight="1">
      <c r="BN171" s="23" t="s">
        <v>210</v>
      </c>
      <c r="BS171">
        <v>5</v>
      </c>
      <c r="BT171" t="s">
        <v>490</v>
      </c>
      <c r="CB171" s="350" t="s">
        <v>487</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671</v>
      </c>
      <c r="CS171" s="321">
        <v>352022</v>
      </c>
      <c r="CT171" s="321">
        <v>405878</v>
      </c>
      <c r="CU171" s="321">
        <v>489600</v>
      </c>
      <c r="CV171" s="321">
        <v>626688</v>
      </c>
      <c r="CW171" s="321">
        <v>698170</v>
      </c>
      <c r="CX171" s="14"/>
      <c r="CY171" s="23" t="s">
        <v>671</v>
      </c>
      <c r="CZ171" s="321">
        <v>352022</v>
      </c>
      <c r="DA171" s="321">
        <v>405878</v>
      </c>
      <c r="DB171" s="321">
        <v>489600</v>
      </c>
      <c r="DC171" s="321">
        <v>626688</v>
      </c>
      <c r="DD171" s="321">
        <v>698170</v>
      </c>
    </row>
    <row r="172" spans="1:108" ht="12.95" customHeight="1">
      <c r="A172" s="2" t="s">
        <v>318</v>
      </c>
      <c r="C172" s="2" t="s">
        <v>319</v>
      </c>
      <c r="BN172" s="23" t="s">
        <v>212</v>
      </c>
      <c r="BS172">
        <v>5</v>
      </c>
      <c r="BT172" t="s">
        <v>491</v>
      </c>
      <c r="CB172" s="350" t="s">
        <v>488</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673</v>
      </c>
      <c r="CS172" s="323">
        <v>324988</v>
      </c>
      <c r="CT172" s="323">
        <v>374708</v>
      </c>
      <c r="CU172" s="323">
        <v>452000</v>
      </c>
      <c r="CV172" s="323">
        <v>578560</v>
      </c>
      <c r="CW172" s="323">
        <v>644552</v>
      </c>
      <c r="CX172" s="14"/>
      <c r="CY172" s="23" t="s">
        <v>673</v>
      </c>
      <c r="CZ172" s="323">
        <v>324988</v>
      </c>
      <c r="DA172" s="323">
        <v>374708</v>
      </c>
      <c r="DB172" s="323">
        <v>452000</v>
      </c>
      <c r="DC172" s="323">
        <v>578560</v>
      </c>
      <c r="DD172" s="323">
        <v>644552</v>
      </c>
    </row>
    <row r="173" spans="1:108" ht="12.95" customHeight="1">
      <c r="C173" s="24"/>
      <c r="D173" t="s">
        <v>320</v>
      </c>
      <c r="J173" s="1803" t="s">
        <v>370</v>
      </c>
      <c r="K173" s="1803"/>
      <c r="L173" s="1803"/>
      <c r="M173" s="1803"/>
      <c r="N173" s="1803"/>
      <c r="O173" s="1803"/>
      <c r="P173" s="1803"/>
      <c r="Q173" s="1803"/>
      <c r="R173" s="1803"/>
      <c r="S173" s="1803"/>
      <c r="U173" s="25"/>
      <c r="X173" s="25"/>
      <c r="BB173" s="3" t="s">
        <v>306</v>
      </c>
      <c r="BN173" s="23" t="s">
        <v>213</v>
      </c>
      <c r="BS173">
        <v>7</v>
      </c>
      <c r="BT173" t="s">
        <v>492</v>
      </c>
      <c r="CB173" s="350" t="s">
        <v>489</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674</v>
      </c>
      <c r="CS173" s="321">
        <v>352022</v>
      </c>
      <c r="CT173" s="321">
        <v>405878</v>
      </c>
      <c r="CU173" s="321">
        <v>489600</v>
      </c>
      <c r="CV173" s="321">
        <v>626688</v>
      </c>
      <c r="CW173" s="321">
        <v>698170</v>
      </c>
      <c r="CX173" s="14"/>
      <c r="CY173" s="23" t="s">
        <v>674</v>
      </c>
      <c r="CZ173" s="321">
        <v>352022</v>
      </c>
      <c r="DA173" s="321">
        <v>405878</v>
      </c>
      <c r="DB173" s="321">
        <v>489600</v>
      </c>
      <c r="DC173" s="321">
        <v>626688</v>
      </c>
      <c r="DD173" s="321">
        <v>698170</v>
      </c>
    </row>
    <row r="174" spans="1:108" ht="12.95" customHeight="1">
      <c r="C174" s="24"/>
      <c r="D174" s="3" t="s">
        <v>1201</v>
      </c>
      <c r="J174" s="1393" t="s">
        <v>2101</v>
      </c>
      <c r="K174" s="1393"/>
      <c r="L174" s="1393"/>
      <c r="M174" s="1393"/>
      <c r="N174" s="1393"/>
      <c r="O174" s="1393"/>
      <c r="P174" s="1393"/>
      <c r="Q174" s="1393"/>
      <c r="R174" s="1393"/>
      <c r="S174" s="1393"/>
      <c r="T174" s="1393"/>
      <c r="U174" s="1393"/>
      <c r="V174" s="1393"/>
      <c r="W174" s="1393"/>
      <c r="X174" s="1393"/>
      <c r="Y174" s="1393"/>
      <c r="Z174" s="1393"/>
      <c r="AA174" s="1393"/>
      <c r="AB174" s="1393"/>
      <c r="BB174" t="s">
        <v>1969</v>
      </c>
      <c r="BN174" s="23" t="s">
        <v>215</v>
      </c>
      <c r="BS174">
        <v>7</v>
      </c>
      <c r="BT174" t="s">
        <v>493</v>
      </c>
      <c r="CB174" s="350" t="s">
        <v>490</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210</v>
      </c>
      <c r="CS174" s="323">
        <v>307732</v>
      </c>
      <c r="CT174" s="323">
        <v>354812</v>
      </c>
      <c r="CU174" s="323">
        <v>428000</v>
      </c>
      <c r="CV174" s="323">
        <v>547840</v>
      </c>
      <c r="CW174" s="323">
        <v>610328</v>
      </c>
      <c r="CX174" s="14"/>
      <c r="CY174" s="23" t="s">
        <v>210</v>
      </c>
      <c r="CZ174" s="323">
        <v>307732</v>
      </c>
      <c r="DA174" s="323">
        <v>354812</v>
      </c>
      <c r="DB174" s="323">
        <v>428000</v>
      </c>
      <c r="DC174" s="323">
        <v>547840</v>
      </c>
      <c r="DD174" s="323">
        <v>610328</v>
      </c>
    </row>
    <row r="175" spans="1:108" ht="12.95" customHeight="1">
      <c r="C175" s="8"/>
      <c r="D175" s="3" t="s">
        <v>321</v>
      </c>
      <c r="O175" s="27"/>
      <c r="U175" s="1379" t="s">
        <v>669</v>
      </c>
      <c r="V175" s="1379"/>
      <c r="BB175" t="s">
        <v>1937</v>
      </c>
      <c r="BN175" s="23" t="s">
        <v>216</v>
      </c>
      <c r="BS175">
        <v>1</v>
      </c>
      <c r="BT175" t="s">
        <v>494</v>
      </c>
      <c r="CB175" s="350" t="s">
        <v>491</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212</v>
      </c>
      <c r="CS175" s="321">
        <v>307732</v>
      </c>
      <c r="CT175" s="321">
        <v>354812</v>
      </c>
      <c r="CU175" s="321">
        <v>428000</v>
      </c>
      <c r="CV175" s="321">
        <v>547840</v>
      </c>
      <c r="CW175" s="321">
        <v>610328</v>
      </c>
      <c r="CX175" s="14"/>
      <c r="CY175" s="23" t="s">
        <v>212</v>
      </c>
      <c r="CZ175" s="321">
        <v>307732</v>
      </c>
      <c r="DA175" s="321">
        <v>354812</v>
      </c>
      <c r="DB175" s="321">
        <v>428000</v>
      </c>
      <c r="DC175" s="321">
        <v>547840</v>
      </c>
      <c r="DD175" s="321">
        <v>610328</v>
      </c>
    </row>
    <row r="176" spans="1:108" ht="12.95" customHeight="1">
      <c r="C176" s="8"/>
      <c r="D176" s="26"/>
      <c r="E176" t="s">
        <v>303</v>
      </c>
      <c r="O176" s="27"/>
      <c r="P176" t="s">
        <v>2079</v>
      </c>
      <c r="T176" s="27" t="s">
        <v>304</v>
      </c>
      <c r="U176" s="1471"/>
      <c r="V176" s="1471"/>
      <c r="W176" s="1" t="s">
        <v>305</v>
      </c>
      <c r="X176" s="1779"/>
      <c r="Y176" s="1779"/>
      <c r="BB176" t="s">
        <v>1970</v>
      </c>
      <c r="BN176" s="23" t="s">
        <v>218</v>
      </c>
      <c r="BS176">
        <v>5</v>
      </c>
      <c r="BT176" t="s">
        <v>495</v>
      </c>
      <c r="CB176" s="350" t="s">
        <v>492</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213</v>
      </c>
      <c r="CS176" s="323">
        <v>352022</v>
      </c>
      <c r="CT176" s="323">
        <v>405878</v>
      </c>
      <c r="CU176" s="323">
        <v>489600</v>
      </c>
      <c r="CV176" s="323">
        <v>626688</v>
      </c>
      <c r="CW176" s="323">
        <v>698170</v>
      </c>
      <c r="CX176" s="14"/>
      <c r="CY176" s="23" t="s">
        <v>213</v>
      </c>
      <c r="CZ176" s="323">
        <v>352022</v>
      </c>
      <c r="DA176" s="323">
        <v>405878</v>
      </c>
      <c r="DB176" s="323">
        <v>489600</v>
      </c>
      <c r="DC176" s="323">
        <v>626688</v>
      </c>
      <c r="DD176" s="323">
        <v>698170</v>
      </c>
    </row>
    <row r="177" spans="1:108" ht="12.95" customHeight="1">
      <c r="C177" s="24"/>
      <c r="D177" t="s">
        <v>248</v>
      </c>
      <c r="R177" s="1379" t="s">
        <v>669</v>
      </c>
      <c r="S177" s="1379"/>
      <c r="BB177" t="s">
        <v>2213</v>
      </c>
      <c r="BN177" s="23" t="s">
        <v>219</v>
      </c>
      <c r="BS177">
        <v>2</v>
      </c>
      <c r="BT177" t="s">
        <v>496</v>
      </c>
      <c r="CB177" s="350" t="s">
        <v>493</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215</v>
      </c>
      <c r="CS177" s="321">
        <v>352022</v>
      </c>
      <c r="CT177" s="321">
        <v>405878</v>
      </c>
      <c r="CU177" s="321">
        <v>489600</v>
      </c>
      <c r="CV177" s="321">
        <v>626688</v>
      </c>
      <c r="CW177" s="321">
        <v>698170</v>
      </c>
      <c r="CX177" s="14"/>
      <c r="CY177" s="23" t="s">
        <v>215</v>
      </c>
      <c r="CZ177" s="321">
        <v>352022</v>
      </c>
      <c r="DA177" s="321">
        <v>405878</v>
      </c>
      <c r="DB177" s="321">
        <v>489600</v>
      </c>
      <c r="DC177" s="321">
        <v>626688</v>
      </c>
      <c r="DD177" s="321">
        <v>698170</v>
      </c>
    </row>
    <row r="178" spans="1:108" ht="12.95" customHeight="1">
      <c r="C178" s="24"/>
      <c r="D178" s="3" t="s">
        <v>1202</v>
      </c>
      <c r="AA178" t="s">
        <v>2079</v>
      </c>
      <c r="AE178" s="27" t="s">
        <v>304</v>
      </c>
      <c r="AF178" s="1777"/>
      <c r="AG178" s="1777"/>
      <c r="AH178" s="1" t="s">
        <v>305</v>
      </c>
      <c r="AI178" s="1802"/>
      <c r="AJ178" s="1802"/>
      <c r="AK178" s="1802"/>
      <c r="BB178" t="s">
        <v>2214</v>
      </c>
      <c r="BN178" s="23" t="s">
        <v>220</v>
      </c>
      <c r="BS178">
        <v>7</v>
      </c>
      <c r="BT178" t="s">
        <v>53</v>
      </c>
      <c r="CB178" s="350" t="s">
        <v>494</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216</v>
      </c>
      <c r="CS178" s="323">
        <v>437727</v>
      </c>
      <c r="CT178" s="323">
        <v>504695</v>
      </c>
      <c r="CU178" s="323">
        <v>608800</v>
      </c>
      <c r="CV178" s="323">
        <v>779264</v>
      </c>
      <c r="CW178" s="323">
        <v>868149</v>
      </c>
      <c r="CX178" s="14"/>
      <c r="CY178" s="23" t="s">
        <v>216</v>
      </c>
      <c r="CZ178" s="323">
        <v>437727</v>
      </c>
      <c r="DA178" s="323">
        <v>504695</v>
      </c>
      <c r="DB178" s="323">
        <v>608800</v>
      </c>
      <c r="DC178" s="323">
        <v>779264</v>
      </c>
      <c r="DD178" s="323">
        <v>868149</v>
      </c>
    </row>
    <row r="179" spans="1:108" ht="12.95" customHeight="1">
      <c r="C179" s="24"/>
      <c r="BN179" s="23" t="s">
        <v>221</v>
      </c>
      <c r="BS179">
        <v>7</v>
      </c>
      <c r="BT179" t="s">
        <v>54</v>
      </c>
      <c r="CB179" s="350" t="s">
        <v>495</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218</v>
      </c>
      <c r="CS179" s="321">
        <v>307732</v>
      </c>
      <c r="CT179" s="321">
        <v>354812</v>
      </c>
      <c r="CU179" s="321">
        <v>428000</v>
      </c>
      <c r="CV179" s="321">
        <v>547840</v>
      </c>
      <c r="CW179" s="321">
        <v>610328</v>
      </c>
      <c r="CX179" s="14"/>
      <c r="CY179" s="23" t="s">
        <v>218</v>
      </c>
      <c r="CZ179" s="321">
        <v>307732</v>
      </c>
      <c r="DA179" s="321">
        <v>354812</v>
      </c>
      <c r="DB179" s="321">
        <v>428000</v>
      </c>
      <c r="DC179" s="321">
        <v>547840</v>
      </c>
      <c r="DD179" s="321">
        <v>610328</v>
      </c>
    </row>
    <row r="180" spans="1:108" ht="12.95" customHeight="1">
      <c r="C180" s="24"/>
      <c r="D180" t="s">
        <v>2080</v>
      </c>
      <c r="X180" s="1379" t="s">
        <v>669</v>
      </c>
      <c r="Y180" s="1379"/>
      <c r="BN180" s="23" t="s">
        <v>223</v>
      </c>
      <c r="BS180">
        <v>5</v>
      </c>
      <c r="BT180" t="s">
        <v>55</v>
      </c>
      <c r="CB180" s="350" t="s">
        <v>496</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219</v>
      </c>
      <c r="CS180" s="323">
        <v>384234</v>
      </c>
      <c r="CT180" s="323">
        <v>443018</v>
      </c>
      <c r="CU180" s="323">
        <v>534400</v>
      </c>
      <c r="CV180" s="323">
        <v>684032</v>
      </c>
      <c r="CW180" s="323">
        <v>762054</v>
      </c>
      <c r="CX180" s="14"/>
      <c r="CY180" s="23" t="s">
        <v>219</v>
      </c>
      <c r="CZ180" s="323">
        <v>384234</v>
      </c>
      <c r="DA180" s="323">
        <v>443018</v>
      </c>
      <c r="DB180" s="323">
        <v>534400</v>
      </c>
      <c r="DC180" s="323">
        <v>684032</v>
      </c>
      <c r="DD180" s="323">
        <v>762054</v>
      </c>
    </row>
    <row r="181" spans="1:108" ht="12.95" customHeight="1">
      <c r="C181" s="8"/>
      <c r="E181" s="4" t="s">
        <v>975</v>
      </c>
      <c r="BN181" s="23" t="s">
        <v>224</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220</v>
      </c>
      <c r="CS181" s="321">
        <v>352022</v>
      </c>
      <c r="CT181" s="321">
        <v>405878</v>
      </c>
      <c r="CU181" s="321">
        <v>489600</v>
      </c>
      <c r="CV181" s="321">
        <v>626688</v>
      </c>
      <c r="CW181" s="321">
        <v>698170</v>
      </c>
      <c r="CX181" s="14"/>
      <c r="CY181" s="23" t="s">
        <v>220</v>
      </c>
      <c r="CZ181" s="321">
        <v>352022</v>
      </c>
      <c r="DA181" s="321">
        <v>405878</v>
      </c>
      <c r="DB181" s="321">
        <v>489600</v>
      </c>
      <c r="DC181" s="321">
        <v>626688</v>
      </c>
      <c r="DD181" s="321">
        <v>698170</v>
      </c>
    </row>
    <row r="182" spans="1:108" ht="12.95" customHeight="1">
      <c r="C182" s="530"/>
      <c r="BN182" s="23" t="s">
        <v>225</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221</v>
      </c>
      <c r="CS182" s="323">
        <v>352022</v>
      </c>
      <c r="CT182" s="323">
        <v>405878</v>
      </c>
      <c r="CU182" s="323">
        <v>489600</v>
      </c>
      <c r="CV182" s="323">
        <v>626688</v>
      </c>
      <c r="CW182" s="323">
        <v>698170</v>
      </c>
      <c r="CX182" s="14"/>
      <c r="CY182" s="23" t="s">
        <v>221</v>
      </c>
      <c r="CZ182" s="323">
        <v>352022</v>
      </c>
      <c r="DA182" s="323">
        <v>405878</v>
      </c>
      <c r="DB182" s="323">
        <v>489600</v>
      </c>
      <c r="DC182" s="323">
        <v>626688</v>
      </c>
      <c r="DD182" s="323">
        <v>698170</v>
      </c>
    </row>
    <row r="183" spans="1:108" ht="12.95" customHeight="1">
      <c r="A183" s="2" t="s">
        <v>576</v>
      </c>
      <c r="C183" s="2" t="s">
        <v>577</v>
      </c>
      <c r="BN183" s="23" t="s">
        <v>227</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223</v>
      </c>
      <c r="CS183" s="321">
        <v>307732</v>
      </c>
      <c r="CT183" s="321">
        <v>354812</v>
      </c>
      <c r="CU183" s="321">
        <v>428000</v>
      </c>
      <c r="CV183" s="321">
        <v>547840</v>
      </c>
      <c r="CW183" s="321">
        <v>610328</v>
      </c>
      <c r="CX183" s="14"/>
      <c r="CY183" s="23" t="s">
        <v>223</v>
      </c>
      <c r="CZ183" s="321">
        <v>307732</v>
      </c>
      <c r="DA183" s="321">
        <v>354812</v>
      </c>
      <c r="DB183" s="321">
        <v>428000</v>
      </c>
      <c r="DC183" s="321">
        <v>547840</v>
      </c>
      <c r="DD183" s="321">
        <v>610328</v>
      </c>
    </row>
    <row r="184" spans="1:108" ht="12.95" customHeight="1">
      <c r="C184" s="21"/>
      <c r="D184" t="s">
        <v>578</v>
      </c>
      <c r="I184" s="1389" t="str">
        <f>H18</f>
        <v>Market Two</v>
      </c>
      <c r="J184" s="1389"/>
      <c r="K184" s="1389"/>
      <c r="L184" s="1389"/>
      <c r="M184" s="1389"/>
      <c r="N184" s="1389"/>
      <c r="O184" s="1389"/>
      <c r="P184" s="1389"/>
      <c r="Q184" s="1389"/>
      <c r="R184" s="1389"/>
      <c r="S184" s="1389"/>
      <c r="T184" s="1389"/>
      <c r="U184" s="1389"/>
      <c r="V184" s="1389"/>
      <c r="W184" s="1389"/>
      <c r="X184" s="1389"/>
      <c r="Y184" s="1389"/>
      <c r="Z184" s="1389"/>
      <c r="AA184" s="1389"/>
      <c r="AB184" s="1389"/>
      <c r="AC184" s="1389"/>
      <c r="AD184" s="1389"/>
      <c r="AE184" s="1389"/>
      <c r="BC184" t="s">
        <v>587</v>
      </c>
      <c r="BN184" s="23" t="s">
        <v>229</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224</v>
      </c>
      <c r="CS184" s="323">
        <v>352022</v>
      </c>
      <c r="CT184" s="323">
        <v>405878</v>
      </c>
      <c r="CU184" s="323">
        <v>489600</v>
      </c>
      <c r="CV184" s="323">
        <v>626688</v>
      </c>
      <c r="CW184" s="323">
        <v>698170</v>
      </c>
      <c r="CX184" s="14"/>
      <c r="CY184" s="23" t="s">
        <v>224</v>
      </c>
      <c r="CZ184" s="323">
        <v>352022</v>
      </c>
      <c r="DA184" s="323">
        <v>405878</v>
      </c>
      <c r="DB184" s="323">
        <v>489600</v>
      </c>
      <c r="DC184" s="323">
        <v>626688</v>
      </c>
      <c r="DD184" s="323">
        <v>698170</v>
      </c>
    </row>
    <row r="185" spans="1:108" ht="12.95" customHeight="1">
      <c r="C185" s="21"/>
      <c r="D185" t="s">
        <v>579</v>
      </c>
      <c r="I185" s="1397" t="s">
        <v>2625</v>
      </c>
      <c r="J185" s="1397"/>
      <c r="K185" s="1397"/>
      <c r="L185" s="1397"/>
      <c r="M185" s="1397"/>
      <c r="N185" s="1397"/>
      <c r="O185" s="1397"/>
      <c r="P185" s="1397"/>
      <c r="Q185" s="1397"/>
      <c r="R185" s="1397"/>
      <c r="S185" s="1397"/>
      <c r="T185" s="1397"/>
      <c r="U185" s="1397"/>
      <c r="V185" s="1397"/>
      <c r="W185" s="1397"/>
      <c r="X185" s="1397"/>
      <c r="Y185" s="1397"/>
      <c r="Z185" s="1397"/>
      <c r="AA185" s="1397"/>
      <c r="AB185" s="1397"/>
      <c r="AC185" s="1397"/>
      <c r="AD185" s="1397"/>
      <c r="AE185" s="1397"/>
      <c r="BC185" t="s">
        <v>588</v>
      </c>
      <c r="BN185" s="23" t="s">
        <v>230</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225</v>
      </c>
      <c r="CS185" s="321">
        <v>352022</v>
      </c>
      <c r="CT185" s="321">
        <v>405878</v>
      </c>
      <c r="CU185" s="321">
        <v>489600</v>
      </c>
      <c r="CV185" s="321">
        <v>626688</v>
      </c>
      <c r="CW185" s="321">
        <v>698170</v>
      </c>
      <c r="CX185" s="14"/>
      <c r="CY185" s="23" t="s">
        <v>225</v>
      </c>
      <c r="CZ185" s="321">
        <v>352022</v>
      </c>
      <c r="DA185" s="321">
        <v>405878</v>
      </c>
      <c r="DB185" s="321">
        <v>489600</v>
      </c>
      <c r="DC185" s="321">
        <v>626688</v>
      </c>
      <c r="DD185" s="321">
        <v>698170</v>
      </c>
    </row>
    <row r="186" spans="1:108" ht="12.95" customHeight="1">
      <c r="C186" s="21"/>
      <c r="E186" t="s">
        <v>167</v>
      </c>
      <c r="BN186" s="23" t="s">
        <v>231</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227</v>
      </c>
      <c r="CS186" s="323">
        <v>404366</v>
      </c>
      <c r="CT186" s="323">
        <v>466230</v>
      </c>
      <c r="CU186" s="323">
        <v>562400</v>
      </c>
      <c r="CV186" s="323">
        <v>719872</v>
      </c>
      <c r="CW186" s="323">
        <v>801982</v>
      </c>
      <c r="CX186" s="14"/>
      <c r="CY186" s="23" t="s">
        <v>227</v>
      </c>
      <c r="CZ186" s="323">
        <v>404366</v>
      </c>
      <c r="DA186" s="323">
        <v>466230</v>
      </c>
      <c r="DB186" s="323">
        <v>562400</v>
      </c>
      <c r="DC186" s="323">
        <v>719872</v>
      </c>
      <c r="DD186" s="323">
        <v>801982</v>
      </c>
    </row>
    <row r="187" spans="1:108" ht="12.95" customHeight="1">
      <c r="C187" s="21"/>
      <c r="E187" s="1801"/>
      <c r="F187" s="1801"/>
      <c r="G187" s="1801"/>
      <c r="H187" s="1801"/>
      <c r="I187" s="1801"/>
      <c r="J187" s="1801"/>
      <c r="K187" s="1801"/>
      <c r="L187" s="1801"/>
      <c r="M187" s="1801"/>
      <c r="N187" s="1801"/>
      <c r="O187" s="1801"/>
      <c r="P187" s="1801"/>
      <c r="Q187" s="1801"/>
      <c r="R187" s="1801"/>
      <c r="S187" s="1801"/>
      <c r="T187" s="1801"/>
      <c r="U187" s="1801"/>
      <c r="V187" s="1801"/>
      <c r="W187" s="1801"/>
      <c r="X187" s="1801"/>
      <c r="Y187" s="1801"/>
      <c r="Z187" s="1801"/>
      <c r="AA187" s="1801"/>
      <c r="AB187" s="1801"/>
      <c r="AC187" s="1801"/>
      <c r="AD187" s="1801"/>
      <c r="AE187" s="1801"/>
      <c r="BN187" s="23" t="s">
        <v>232</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229</v>
      </c>
      <c r="CS187" s="321">
        <v>384234</v>
      </c>
      <c r="CT187" s="321">
        <v>443018</v>
      </c>
      <c r="CU187" s="321">
        <v>534400</v>
      </c>
      <c r="CV187" s="321">
        <v>684032</v>
      </c>
      <c r="CW187" s="321">
        <v>762054</v>
      </c>
      <c r="CX187" s="14"/>
      <c r="CY187" s="23" t="s">
        <v>229</v>
      </c>
      <c r="CZ187" s="321">
        <v>384234</v>
      </c>
      <c r="DA187" s="321">
        <v>443018</v>
      </c>
      <c r="DB187" s="321">
        <v>534400</v>
      </c>
      <c r="DC187" s="321">
        <v>684032</v>
      </c>
      <c r="DD187" s="321">
        <v>762054</v>
      </c>
    </row>
    <row r="188" spans="1:108" ht="12.95" customHeight="1">
      <c r="C188" s="21"/>
      <c r="E188" s="1768"/>
      <c r="F188" s="1768"/>
      <c r="G188" s="1768"/>
      <c r="H188" s="1768"/>
      <c r="I188" s="1768"/>
      <c r="J188" s="1768"/>
      <c r="K188" s="1768"/>
      <c r="L188" s="1768"/>
      <c r="M188" s="1768"/>
      <c r="N188" s="1768"/>
      <c r="O188" s="1768"/>
      <c r="P188" s="1768"/>
      <c r="Q188" s="1768"/>
      <c r="R188" s="1768"/>
      <c r="S188" s="1768"/>
      <c r="T188" s="1768"/>
      <c r="U188" s="1768"/>
      <c r="V188" s="1768"/>
      <c r="W188" s="1768"/>
      <c r="X188" s="1768"/>
      <c r="Y188" s="1768"/>
      <c r="Z188" s="1768"/>
      <c r="AA188" s="1768"/>
      <c r="AB188" s="1768"/>
      <c r="AC188" s="1768"/>
      <c r="AD188" s="1768"/>
      <c r="AE188" s="1768"/>
      <c r="BN188" s="23" t="s">
        <v>234</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230</v>
      </c>
      <c r="CS188" s="323">
        <v>352022</v>
      </c>
      <c r="CT188" s="323">
        <v>405878</v>
      </c>
      <c r="CU188" s="323">
        <v>489600</v>
      </c>
      <c r="CV188" s="323">
        <v>626688</v>
      </c>
      <c r="CW188" s="323">
        <v>698170</v>
      </c>
      <c r="CX188" s="14"/>
      <c r="CY188" s="23" t="s">
        <v>230</v>
      </c>
      <c r="CZ188" s="323">
        <v>352022</v>
      </c>
      <c r="DA188" s="323">
        <v>405878</v>
      </c>
      <c r="DB188" s="323">
        <v>489600</v>
      </c>
      <c r="DC188" s="323">
        <v>626688</v>
      </c>
      <c r="DD188" s="323">
        <v>698170</v>
      </c>
    </row>
    <row r="189" spans="1:108" ht="12.95" customHeight="1">
      <c r="C189" s="21"/>
      <c r="D189" t="s">
        <v>580</v>
      </c>
      <c r="I189" s="1462" t="s">
        <v>729</v>
      </c>
      <c r="J189" s="1393"/>
      <c r="K189" s="1393"/>
      <c r="L189" s="1393"/>
      <c r="M189" s="1393"/>
      <c r="N189" s="1393"/>
      <c r="O189" s="1393"/>
      <c r="P189" s="1393"/>
      <c r="Q189" t="s">
        <v>582</v>
      </c>
      <c r="T189" s="1393" t="s">
        <v>729</v>
      </c>
      <c r="U189" s="1393"/>
      <c r="V189" s="1393"/>
      <c r="W189" s="1393"/>
      <c r="X189" s="1393"/>
      <c r="Y189" s="1393"/>
      <c r="Z189" s="1393"/>
      <c r="AA189" s="1393"/>
      <c r="AB189" s="1393"/>
      <c r="AC189" s="1393"/>
      <c r="AD189" s="1393"/>
      <c r="AE189" s="1393"/>
      <c r="BC189" t="s">
        <v>306</v>
      </c>
      <c r="BH189" s="3" t="s">
        <v>591</v>
      </c>
      <c r="BN189" s="23" t="s">
        <v>235</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231</v>
      </c>
      <c r="CS189" s="321">
        <v>396888</v>
      </c>
      <c r="CT189" s="321">
        <v>457608</v>
      </c>
      <c r="CU189" s="321">
        <v>552000</v>
      </c>
      <c r="CV189" s="321">
        <v>706560</v>
      </c>
      <c r="CW189" s="321">
        <v>787152</v>
      </c>
      <c r="CX189" s="14"/>
      <c r="CY189" s="23" t="s">
        <v>231</v>
      </c>
      <c r="CZ189" s="321">
        <v>396888</v>
      </c>
      <c r="DA189" s="321">
        <v>457608</v>
      </c>
      <c r="DB189" s="321">
        <v>552000</v>
      </c>
      <c r="DC189" s="321">
        <v>706560</v>
      </c>
      <c r="DD189" s="321">
        <v>787152</v>
      </c>
    </row>
    <row r="190" spans="1:108" ht="12.95" customHeight="1">
      <c r="C190" s="21"/>
      <c r="D190" t="s">
        <v>583</v>
      </c>
      <c r="I190" s="1397">
        <v>92102</v>
      </c>
      <c r="J190" s="1397"/>
      <c r="K190" s="1397"/>
      <c r="L190" s="1397"/>
      <c r="M190" s="1397"/>
      <c r="N190" s="1397"/>
      <c r="O190" t="s">
        <v>585</v>
      </c>
      <c r="T190" s="1785">
        <v>15</v>
      </c>
      <c r="U190" s="1785"/>
      <c r="V190" s="1785"/>
      <c r="W190" s="1785"/>
      <c r="X190" s="1785"/>
      <c r="Y190" s="1785"/>
      <c r="Z190" s="1785"/>
      <c r="AA190" s="1785"/>
      <c r="AB190" s="1785"/>
      <c r="AC190" s="1785"/>
      <c r="AD190" s="1785"/>
      <c r="AE190" s="1785"/>
      <c r="BC190" t="s">
        <v>1040</v>
      </c>
      <c r="BH190" t="s">
        <v>1040</v>
      </c>
      <c r="BN190" s="23" t="s">
        <v>635</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232</v>
      </c>
      <c r="CS190" s="323">
        <v>331890</v>
      </c>
      <c r="CT190" s="323">
        <v>382666</v>
      </c>
      <c r="CU190" s="323">
        <v>461600</v>
      </c>
      <c r="CV190" s="323">
        <v>590848</v>
      </c>
      <c r="CW190" s="323">
        <v>658242</v>
      </c>
      <c r="CX190" s="14"/>
      <c r="CY190" s="23" t="s">
        <v>232</v>
      </c>
      <c r="CZ190" s="323">
        <v>331890</v>
      </c>
      <c r="DA190" s="323">
        <v>382666</v>
      </c>
      <c r="DB190" s="323">
        <v>461600</v>
      </c>
      <c r="DC190" s="323">
        <v>590848</v>
      </c>
      <c r="DD190" s="323">
        <v>658242</v>
      </c>
    </row>
    <row r="191" spans="1:108" ht="12.95" customHeight="1">
      <c r="C191" s="21"/>
      <c r="D191" t="s">
        <v>462</v>
      </c>
      <c r="N191" s="1801" t="s">
        <v>2615</v>
      </c>
      <c r="O191" s="1801"/>
      <c r="P191" s="1801"/>
      <c r="Q191" s="1801"/>
      <c r="R191" s="1801"/>
      <c r="S191" s="1801"/>
      <c r="T191" s="1801"/>
      <c r="U191" s="1801"/>
      <c r="V191" s="1801"/>
      <c r="W191" s="1801"/>
      <c r="X191" s="1801"/>
      <c r="Y191" s="1801"/>
      <c r="Z191" s="1801"/>
      <c r="AA191" s="1801"/>
      <c r="AB191" s="1801"/>
      <c r="AC191" s="1801"/>
      <c r="AD191" s="1801"/>
      <c r="AE191" s="1801"/>
      <c r="BC191" t="s">
        <v>1039</v>
      </c>
      <c r="BH191" t="s">
        <v>1039</v>
      </c>
      <c r="BN191" s="23" t="s">
        <v>688</v>
      </c>
      <c r="BS191">
        <v>4</v>
      </c>
      <c r="BT191" t="s">
        <v>727</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234</v>
      </c>
      <c r="CS191" s="321">
        <v>352022</v>
      </c>
      <c r="CT191" s="321">
        <v>405878</v>
      </c>
      <c r="CU191" s="321">
        <v>489600</v>
      </c>
      <c r="CV191" s="321">
        <v>626688</v>
      </c>
      <c r="CW191" s="321">
        <v>698170</v>
      </c>
      <c r="CX191" s="14"/>
      <c r="CY191" s="23" t="s">
        <v>234</v>
      </c>
      <c r="CZ191" s="321">
        <v>352022</v>
      </c>
      <c r="DA191" s="321">
        <v>405878</v>
      </c>
      <c r="DB191" s="321">
        <v>489600</v>
      </c>
      <c r="DC191" s="321">
        <v>626688</v>
      </c>
      <c r="DD191" s="321">
        <v>698170</v>
      </c>
    </row>
    <row r="192" spans="1:108" ht="12.95" customHeight="1">
      <c r="C192" s="21"/>
      <c r="M192" s="40"/>
      <c r="N192" s="1768"/>
      <c r="O192" s="1768"/>
      <c r="P192" s="1768"/>
      <c r="Q192" s="1768"/>
      <c r="R192" s="1768"/>
      <c r="S192" s="1768"/>
      <c r="T192" s="1768"/>
      <c r="U192" s="1768"/>
      <c r="V192" s="1768"/>
      <c r="W192" s="1768"/>
      <c r="X192" s="1768"/>
      <c r="Y192" s="1768"/>
      <c r="Z192" s="1768"/>
      <c r="AA192" s="1768"/>
      <c r="AB192" s="1768"/>
      <c r="AC192" s="1768"/>
      <c r="AD192" s="1768"/>
      <c r="AE192" s="1768"/>
      <c r="BC192" t="s">
        <v>1042</v>
      </c>
      <c r="BH192" s="3" t="s">
        <v>1363</v>
      </c>
      <c r="BN192" s="23" t="s">
        <v>689</v>
      </c>
      <c r="BS192">
        <v>5</v>
      </c>
      <c r="BT192" t="s">
        <v>728</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235</v>
      </c>
      <c r="CS192" s="323">
        <v>324988</v>
      </c>
      <c r="CT192" s="323">
        <v>374708</v>
      </c>
      <c r="CU192" s="323">
        <v>452000</v>
      </c>
      <c r="CV192" s="323">
        <v>578560</v>
      </c>
      <c r="CW192" s="323">
        <v>644552</v>
      </c>
      <c r="CX192" s="14"/>
      <c r="CY192" s="23" t="s">
        <v>235</v>
      </c>
      <c r="CZ192" s="323">
        <v>324988</v>
      </c>
      <c r="DA192" s="323">
        <v>374708</v>
      </c>
      <c r="DB192" s="323">
        <v>452000</v>
      </c>
      <c r="DC192" s="323">
        <v>578560</v>
      </c>
      <c r="DD192" s="323">
        <v>644552</v>
      </c>
    </row>
    <row r="193" spans="1:108" ht="12.95" customHeight="1">
      <c r="C193" s="21"/>
      <c r="D193" t="s">
        <v>2081</v>
      </c>
      <c r="M193" s="40"/>
      <c r="N193" s="894"/>
      <c r="O193" s="894"/>
      <c r="P193" s="894"/>
      <c r="Q193" s="894"/>
      <c r="R193" s="894"/>
      <c r="S193" s="894"/>
      <c r="T193" s="1778" t="s">
        <v>2213</v>
      </c>
      <c r="U193" s="1778"/>
      <c r="V193" s="1778"/>
      <c r="W193" s="1778"/>
      <c r="X193" s="1778"/>
      <c r="Y193" s="1778"/>
      <c r="Z193" s="1778"/>
      <c r="AA193" s="1778"/>
      <c r="AB193" s="1778"/>
      <c r="AC193" s="1778"/>
      <c r="AD193" s="1778"/>
      <c r="AE193" s="1778"/>
      <c r="AF193" s="1778"/>
      <c r="AG193" s="1778"/>
      <c r="AH193" s="1778"/>
      <c r="AI193" s="1778"/>
      <c r="BC193" t="s">
        <v>1041</v>
      </c>
      <c r="BH193" s="3" t="s">
        <v>1628</v>
      </c>
      <c r="BN193" s="23" t="s">
        <v>690</v>
      </c>
      <c r="BS193">
        <v>4</v>
      </c>
      <c r="BT193" t="s">
        <v>729</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635</v>
      </c>
      <c r="CS193" s="321">
        <v>331890</v>
      </c>
      <c r="CT193" s="321">
        <v>382666</v>
      </c>
      <c r="CU193" s="321">
        <v>461600</v>
      </c>
      <c r="CV193" s="321">
        <v>590848</v>
      </c>
      <c r="CW193" s="321">
        <v>658242</v>
      </c>
      <c r="CX193" s="14"/>
      <c r="CY193" s="23" t="s">
        <v>635</v>
      </c>
      <c r="CZ193" s="321">
        <v>331890</v>
      </c>
      <c r="DA193" s="321">
        <v>382666</v>
      </c>
      <c r="DB193" s="321">
        <v>461600</v>
      </c>
      <c r="DC193" s="321">
        <v>590848</v>
      </c>
      <c r="DD193" s="321">
        <v>658242</v>
      </c>
    </row>
    <row r="194" spans="1:108" ht="12.95" customHeight="1">
      <c r="C194" s="21"/>
      <c r="D194" s="3" t="s">
        <v>2215</v>
      </c>
      <c r="M194" s="40"/>
      <c r="N194" s="894"/>
      <c r="O194" s="894"/>
      <c r="P194" s="894"/>
      <c r="Q194" s="894"/>
      <c r="R194" s="894"/>
      <c r="S194" s="894"/>
      <c r="AH194" s="1379" t="s">
        <v>669</v>
      </c>
      <c r="AI194" s="1379"/>
      <c r="BC194" t="s">
        <v>1363</v>
      </c>
      <c r="BN194" s="23" t="s">
        <v>691</v>
      </c>
      <c r="BS194">
        <v>2</v>
      </c>
      <c r="BT194" t="s">
        <v>730</v>
      </c>
      <c r="CB194" s="350" t="s">
        <v>727</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688</v>
      </c>
      <c r="CS194" s="323">
        <v>352022</v>
      </c>
      <c r="CT194" s="323">
        <v>405878</v>
      </c>
      <c r="CU194" s="323">
        <v>489600</v>
      </c>
      <c r="CV194" s="323">
        <v>626688</v>
      </c>
      <c r="CW194" s="323">
        <v>698170</v>
      </c>
      <c r="CX194" s="14"/>
      <c r="CY194" s="23" t="s">
        <v>688</v>
      </c>
      <c r="CZ194" s="323">
        <v>352022</v>
      </c>
      <c r="DA194" s="323">
        <v>405878</v>
      </c>
      <c r="DB194" s="323">
        <v>489600</v>
      </c>
      <c r="DC194" s="323">
        <v>626688</v>
      </c>
      <c r="DD194" s="323">
        <v>698170</v>
      </c>
    </row>
    <row r="195" spans="1:108" ht="12.95" customHeight="1">
      <c r="C195" s="21"/>
      <c r="D195" t="s">
        <v>330</v>
      </c>
      <c r="T195" s="1379" t="s">
        <v>669</v>
      </c>
      <c r="U195" s="1379"/>
      <c r="W195" t="s">
        <v>684</v>
      </c>
      <c r="AH195" s="1379">
        <v>52</v>
      </c>
      <c r="AI195" s="1379"/>
      <c r="BC195" t="s">
        <v>1856</v>
      </c>
      <c r="BN195" s="23" t="s">
        <v>241</v>
      </c>
      <c r="BS195">
        <v>6</v>
      </c>
      <c r="BT195" t="s">
        <v>731</v>
      </c>
      <c r="CB195" s="350" t="s">
        <v>728</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689</v>
      </c>
      <c r="CS195" s="321">
        <v>324988</v>
      </c>
      <c r="CT195" s="321">
        <v>374708</v>
      </c>
      <c r="CU195" s="321">
        <v>452000</v>
      </c>
      <c r="CV195" s="321">
        <v>578560</v>
      </c>
      <c r="CW195" s="321">
        <v>644552</v>
      </c>
      <c r="CX195" s="14"/>
      <c r="CY195" s="23" t="s">
        <v>689</v>
      </c>
      <c r="CZ195" s="321">
        <v>324988</v>
      </c>
      <c r="DA195" s="321">
        <v>374708</v>
      </c>
      <c r="DB195" s="321">
        <v>452000</v>
      </c>
      <c r="DC195" s="321">
        <v>578560</v>
      </c>
      <c r="DD195" s="321">
        <v>644552</v>
      </c>
    </row>
    <row r="196" spans="1:108" ht="12.95" customHeight="1">
      <c r="C196" s="21"/>
      <c r="D196" t="s">
        <v>385</v>
      </c>
      <c r="T196" s="1448" t="s">
        <v>545</v>
      </c>
      <c r="U196" s="1448"/>
      <c r="W196" t="s">
        <v>685</v>
      </c>
      <c r="AH196" s="1379">
        <v>80</v>
      </c>
      <c r="AI196" s="1379"/>
      <c r="BN196" s="23" t="s">
        <v>242</v>
      </c>
      <c r="BS196">
        <v>4</v>
      </c>
      <c r="BT196" t="s">
        <v>69</v>
      </c>
      <c r="CB196" s="350" t="s">
        <v>729</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690</v>
      </c>
      <c r="CS196" s="323">
        <v>353173</v>
      </c>
      <c r="CT196" s="323">
        <v>407205</v>
      </c>
      <c r="CU196" s="323">
        <v>491200</v>
      </c>
      <c r="CV196" s="323">
        <v>628736</v>
      </c>
      <c r="CW196" s="323">
        <v>700451</v>
      </c>
      <c r="CX196" s="14"/>
      <c r="CY196" s="23" t="s">
        <v>690</v>
      </c>
      <c r="CZ196" s="323">
        <v>353173</v>
      </c>
      <c r="DA196" s="323">
        <v>407205</v>
      </c>
      <c r="DB196" s="323">
        <v>491200</v>
      </c>
      <c r="DC196" s="323">
        <v>628736</v>
      </c>
      <c r="DD196" s="323">
        <v>700451</v>
      </c>
    </row>
    <row r="197" spans="1:108" ht="12.95" customHeight="1">
      <c r="C197" s="21"/>
      <c r="D197" s="3" t="s">
        <v>168</v>
      </c>
      <c r="T197" s="1448" t="s">
        <v>669</v>
      </c>
      <c r="U197" s="1448"/>
      <c r="W197" t="s">
        <v>686</v>
      </c>
      <c r="AH197" s="1379">
        <v>18</v>
      </c>
      <c r="AI197" s="1379"/>
      <c r="BC197" t="s">
        <v>306</v>
      </c>
      <c r="BN197" s="23" t="s">
        <v>243</v>
      </c>
      <c r="BS197">
        <v>2</v>
      </c>
      <c r="BT197" t="s">
        <v>70</v>
      </c>
      <c r="CB197" s="350" t="s">
        <v>730</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691</v>
      </c>
      <c r="CS197" s="321">
        <v>689665</v>
      </c>
      <c r="CT197" s="321">
        <v>795177</v>
      </c>
      <c r="CU197" s="321">
        <v>959200</v>
      </c>
      <c r="CV197" s="321">
        <v>1227776</v>
      </c>
      <c r="CW197" s="321">
        <v>1367819</v>
      </c>
      <c r="CX197" s="14"/>
      <c r="CY197" s="23" t="s">
        <v>691</v>
      </c>
      <c r="CZ197" s="321">
        <v>689665</v>
      </c>
      <c r="DA197" s="321">
        <v>795177</v>
      </c>
      <c r="DB197" s="321">
        <v>959200</v>
      </c>
      <c r="DC197" s="321">
        <v>1227776</v>
      </c>
      <c r="DD197" s="321">
        <v>1367819</v>
      </c>
    </row>
    <row r="198" spans="1:108" s="14" customFormat="1" ht="12.95" customHeight="1">
      <c r="A198"/>
      <c r="B198"/>
      <c r="C198" s="21"/>
      <c r="D198" s="3" t="s">
        <v>1651</v>
      </c>
      <c r="E198"/>
      <c r="F198"/>
      <c r="G198"/>
      <c r="H198"/>
      <c r="I198"/>
      <c r="J198"/>
      <c r="K198"/>
      <c r="L198"/>
      <c r="M198"/>
      <c r="N198"/>
      <c r="O198"/>
      <c r="P198"/>
      <c r="Q198"/>
      <c r="R198"/>
      <c r="S198"/>
      <c r="T198" s="1448">
        <v>0</v>
      </c>
      <c r="U198" s="1448"/>
      <c r="V198"/>
      <c r="X198" s="1459" t="s">
        <v>2513</v>
      </c>
      <c r="Y198" s="1459"/>
      <c r="Z198" s="1459"/>
      <c r="AA198" s="1459"/>
      <c r="AB198" s="1459"/>
      <c r="AC198" s="1459"/>
      <c r="AD198" s="1459"/>
      <c r="AE198" s="1459"/>
      <c r="AF198" s="1459"/>
      <c r="AG198" s="1459"/>
      <c r="AH198" s="1459"/>
      <c r="AI198" s="1459"/>
      <c r="AJ198" s="1459"/>
      <c r="AK198" s="1459"/>
      <c r="AL198" s="1459"/>
      <c r="AM198" s="1459"/>
      <c r="AN198" s="1459"/>
      <c r="AO198" s="1459"/>
      <c r="AP198" s="1459"/>
      <c r="AQ198" s="1459"/>
      <c r="AR198" s="1459"/>
      <c r="AS198" s="1459"/>
      <c r="AT198" s="1459"/>
      <c r="AU198"/>
      <c r="AV198"/>
      <c r="AW198"/>
      <c r="AX198"/>
      <c r="AY198"/>
      <c r="AZ198" s="30"/>
      <c r="BA198" s="30"/>
      <c r="BC198" s="14" t="s">
        <v>591</v>
      </c>
      <c r="BD198"/>
      <c r="BN198" s="23" t="s">
        <v>697</v>
      </c>
      <c r="BO198"/>
      <c r="BP198"/>
      <c r="BQ198"/>
      <c r="BR198"/>
      <c r="BS198">
        <v>4</v>
      </c>
      <c r="BT198" t="s">
        <v>190</v>
      </c>
      <c r="BU198"/>
      <c r="BV198" s="31"/>
      <c r="CB198" s="350" t="s">
        <v>731</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241</v>
      </c>
      <c r="CS198" s="323">
        <v>307732</v>
      </c>
      <c r="CT198" s="323">
        <v>354812</v>
      </c>
      <c r="CU198" s="323">
        <v>428000</v>
      </c>
      <c r="CV198" s="323">
        <v>547840</v>
      </c>
      <c r="CW198" s="323">
        <v>610328</v>
      </c>
      <c r="CY198" s="23" t="s">
        <v>241</v>
      </c>
      <c r="CZ198" s="323">
        <v>307732</v>
      </c>
      <c r="DA198" s="323">
        <v>354812</v>
      </c>
      <c r="DB198" s="323">
        <v>428000</v>
      </c>
      <c r="DC198" s="323">
        <v>547840</v>
      </c>
      <c r="DD198" s="323">
        <v>610328</v>
      </c>
    </row>
    <row r="199" spans="1:108" s="14" customFormat="1" ht="12.95" customHeight="1">
      <c r="A199"/>
      <c r="B199"/>
      <c r="C199" s="21"/>
      <c r="D199" s="118" t="s">
        <v>2516</v>
      </c>
      <c r="E199"/>
      <c r="F199"/>
      <c r="G199"/>
      <c r="H199"/>
      <c r="I199"/>
      <c r="J199"/>
      <c r="K199"/>
      <c r="L199"/>
      <c r="M199"/>
      <c r="N199"/>
      <c r="O199"/>
      <c r="P199"/>
      <c r="Q199"/>
      <c r="R199"/>
      <c r="S199"/>
      <c r="T199" s="1379" t="s">
        <v>669</v>
      </c>
      <c r="U199" s="1379"/>
      <c r="V199"/>
      <c r="W199"/>
      <c r="X199" s="1459"/>
      <c r="Y199" s="1459"/>
      <c r="Z199" s="1459"/>
      <c r="AA199" s="1459"/>
      <c r="AB199" s="1459"/>
      <c r="AC199" s="1459"/>
      <c r="AD199" s="1459"/>
      <c r="AE199" s="1459"/>
      <c r="AF199" s="1459"/>
      <c r="AG199" s="1459"/>
      <c r="AH199" s="1459"/>
      <c r="AI199" s="1459"/>
      <c r="AJ199" s="1459"/>
      <c r="AK199" s="1459"/>
      <c r="AL199" s="1459"/>
      <c r="AM199" s="1459"/>
      <c r="AN199" s="1459"/>
      <c r="AO199" s="1459"/>
      <c r="AP199" s="1459"/>
      <c r="AQ199" s="1459"/>
      <c r="AR199" s="1459"/>
      <c r="AS199" s="1459"/>
      <c r="AT199" s="1459"/>
      <c r="AU199"/>
      <c r="AV199"/>
      <c r="AW199"/>
      <c r="AX199"/>
      <c r="AY199"/>
      <c r="AZ199" s="30"/>
      <c r="BA199" s="30"/>
      <c r="BC199" t="s">
        <v>875</v>
      </c>
      <c r="BD199"/>
      <c r="BN199" s="23" t="s">
        <v>698</v>
      </c>
      <c r="BO199"/>
      <c r="BP199"/>
      <c r="BQ199"/>
      <c r="BR199"/>
      <c r="BS199">
        <v>2</v>
      </c>
      <c r="BT199" s="32" t="s">
        <v>191</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242</v>
      </c>
      <c r="CS199" s="321">
        <v>404366</v>
      </c>
      <c r="CT199" s="321">
        <v>466230</v>
      </c>
      <c r="CU199" s="321">
        <v>562400</v>
      </c>
      <c r="CV199" s="321">
        <v>719872</v>
      </c>
      <c r="CW199" s="321">
        <v>801982</v>
      </c>
      <c r="CY199" s="23" t="s">
        <v>242</v>
      </c>
      <c r="CZ199" s="321">
        <v>404366</v>
      </c>
      <c r="DA199" s="321">
        <v>466230</v>
      </c>
      <c r="DB199" s="321">
        <v>562400</v>
      </c>
      <c r="DC199" s="321">
        <v>719872</v>
      </c>
      <c r="DD199" s="321">
        <v>801982</v>
      </c>
    </row>
    <row r="200" spans="1:108" s="14" customFormat="1" ht="12.95" customHeight="1">
      <c r="A200"/>
      <c r="B200"/>
      <c r="C200" s="21"/>
      <c r="D200" s="14" t="s">
        <v>2514</v>
      </c>
      <c r="T200" s="1379" t="s">
        <v>669</v>
      </c>
      <c r="U200" s="1379"/>
      <c r="V200"/>
      <c r="W200"/>
      <c r="X200"/>
      <c r="Y200"/>
      <c r="AA200"/>
      <c r="AB200" s="1250" t="s">
        <v>918</v>
      </c>
      <c r="AC200"/>
      <c r="AF200"/>
      <c r="AG200"/>
      <c r="AH200" s="1"/>
      <c r="AJ200"/>
      <c r="AK200"/>
      <c r="AL200"/>
      <c r="AM200"/>
      <c r="AN200"/>
      <c r="AO200"/>
      <c r="AP200"/>
      <c r="AQ200"/>
      <c r="AR200"/>
      <c r="AS200"/>
      <c r="AU200"/>
      <c r="AV200"/>
      <c r="AW200"/>
      <c r="AX200"/>
      <c r="AY200"/>
      <c r="AZ200" s="30"/>
      <c r="BA200" s="30"/>
      <c r="BC200" s="3" t="s">
        <v>874</v>
      </c>
      <c r="BD200" s="436"/>
      <c r="BN200" s="23" t="s">
        <v>699</v>
      </c>
      <c r="BO200"/>
      <c r="BP200"/>
      <c r="BQ200"/>
      <c r="BR200"/>
      <c r="BS200">
        <v>2</v>
      </c>
      <c r="BT200" s="32" t="s">
        <v>192</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243</v>
      </c>
      <c r="CS200" s="322">
        <v>532060</v>
      </c>
      <c r="CT200" s="322">
        <v>613460</v>
      </c>
      <c r="CU200" s="323">
        <v>740000</v>
      </c>
      <c r="CV200" s="322">
        <v>947200</v>
      </c>
      <c r="CW200" s="322">
        <v>1055240</v>
      </c>
      <c r="CY200" s="23" t="s">
        <v>243</v>
      </c>
      <c r="CZ200" s="322">
        <v>532060</v>
      </c>
      <c r="DA200" s="322">
        <v>613460</v>
      </c>
      <c r="DB200" s="322">
        <v>740000</v>
      </c>
      <c r="DC200" s="322">
        <v>947200</v>
      </c>
      <c r="DD200" s="322">
        <v>1055240</v>
      </c>
    </row>
    <row r="201" spans="1:108" s="14" customFormat="1" ht="12.95" customHeight="1">
      <c r="A201"/>
      <c r="B201"/>
      <c r="C201" s="21"/>
      <c r="E201" s="3" t="s">
        <v>2515</v>
      </c>
      <c r="V201"/>
      <c r="X201"/>
      <c r="Y201"/>
      <c r="Z201"/>
      <c r="AB201" s="1250" t="s">
        <v>919</v>
      </c>
      <c r="AC201"/>
      <c r="AH201" s="1"/>
      <c r="AJ201"/>
      <c r="AK201"/>
      <c r="AL201"/>
      <c r="AM201"/>
      <c r="AN201"/>
      <c r="AO201"/>
      <c r="AP201"/>
      <c r="AQ201"/>
      <c r="AR201"/>
      <c r="AS201"/>
      <c r="AU201"/>
      <c r="AV201"/>
      <c r="AW201"/>
      <c r="AX201"/>
      <c r="AY201"/>
      <c r="AZ201" s="30"/>
      <c r="BA201" s="30"/>
      <c r="BC201" s="3" t="s">
        <v>1060</v>
      </c>
      <c r="BD201" s="436"/>
      <c r="BN201" s="23" t="s">
        <v>700</v>
      </c>
      <c r="BO201" s="31"/>
      <c r="BP201" s="32"/>
      <c r="BQ201" s="32"/>
      <c r="BR201" s="32"/>
      <c r="BS201">
        <v>6</v>
      </c>
      <c r="BT201" s="32" t="s">
        <v>193</v>
      </c>
      <c r="BU201"/>
      <c r="CB201" s="350" t="s">
        <v>190</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697</v>
      </c>
      <c r="CS201" s="321">
        <v>404366</v>
      </c>
      <c r="CT201" s="321">
        <v>466230</v>
      </c>
      <c r="CU201" s="321">
        <v>562400</v>
      </c>
      <c r="CV201" s="321">
        <v>719872</v>
      </c>
      <c r="CW201" s="321">
        <v>801982</v>
      </c>
      <c r="CY201" s="23" t="s">
        <v>697</v>
      </c>
      <c r="CZ201" s="321">
        <v>404366</v>
      </c>
      <c r="DA201" s="321">
        <v>466230</v>
      </c>
      <c r="DB201" s="321">
        <v>562400</v>
      </c>
      <c r="DC201" s="321">
        <v>719872</v>
      </c>
      <c r="DD201" s="321">
        <v>801982</v>
      </c>
    </row>
    <row r="202" spans="1:108" ht="12.95" customHeight="1">
      <c r="C202" s="21"/>
      <c r="AE202" s="8"/>
      <c r="BC202" t="s">
        <v>611</v>
      </c>
      <c r="BD202" s="436"/>
      <c r="BN202" s="23" t="s">
        <v>701</v>
      </c>
      <c r="BO202" s="14"/>
      <c r="BP202" s="32"/>
      <c r="BQ202" s="32"/>
      <c r="BR202" s="32"/>
      <c r="BS202">
        <v>7</v>
      </c>
      <c r="BT202" s="32" t="s">
        <v>194</v>
      </c>
      <c r="CB202" s="350" t="s">
        <v>191</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698</v>
      </c>
      <c r="CS202" s="322">
        <v>532060</v>
      </c>
      <c r="CT202" s="322">
        <v>613460</v>
      </c>
      <c r="CU202" s="322">
        <v>740000</v>
      </c>
      <c r="CV202" s="322">
        <v>947200</v>
      </c>
      <c r="CW202" s="322">
        <v>1055240</v>
      </c>
      <c r="CX202" s="14"/>
      <c r="CY202" s="23" t="s">
        <v>698</v>
      </c>
      <c r="CZ202" s="322">
        <v>532060</v>
      </c>
      <c r="DA202" s="322">
        <v>613460</v>
      </c>
      <c r="DB202" s="322">
        <v>740000</v>
      </c>
      <c r="DC202" s="322">
        <v>947200</v>
      </c>
      <c r="DD202" s="322">
        <v>1055240</v>
      </c>
    </row>
    <row r="203" spans="1:108" ht="12.95" customHeight="1">
      <c r="A203" s="2" t="s">
        <v>586</v>
      </c>
      <c r="C203" s="2" t="s">
        <v>136</v>
      </c>
      <c r="BC203" t="s">
        <v>1061</v>
      </c>
      <c r="BN203" s="23" t="s">
        <v>702</v>
      </c>
      <c r="BO203" s="14"/>
      <c r="BP203" s="32"/>
      <c r="BQ203" s="32"/>
      <c r="BR203" s="32"/>
      <c r="BS203">
        <v>7</v>
      </c>
      <c r="BT203" s="32" t="s">
        <v>195</v>
      </c>
      <c r="CB203" s="350" t="s">
        <v>192</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699</v>
      </c>
      <c r="CS203" s="321">
        <v>404366</v>
      </c>
      <c r="CT203" s="321">
        <v>466230</v>
      </c>
      <c r="CU203" s="321">
        <v>562400</v>
      </c>
      <c r="CV203" s="321">
        <v>719872</v>
      </c>
      <c r="CW203" s="321">
        <v>801982</v>
      </c>
      <c r="CX203" s="14"/>
      <c r="CY203" s="23" t="s">
        <v>699</v>
      </c>
      <c r="CZ203" s="321">
        <v>404366</v>
      </c>
      <c r="DA203" s="321">
        <v>466230</v>
      </c>
      <c r="DB203" s="321">
        <v>562400</v>
      </c>
      <c r="DC203" s="321">
        <v>719872</v>
      </c>
      <c r="DD203" s="321">
        <v>801982</v>
      </c>
    </row>
    <row r="204" spans="1:108" ht="12.95" customHeight="1">
      <c r="D204" s="1389" t="s">
        <v>384</v>
      </c>
      <c r="E204" s="1389"/>
      <c r="F204" s="1389"/>
      <c r="G204" s="1389"/>
      <c r="H204" s="1389"/>
      <c r="I204" s="1389"/>
      <c r="J204" s="1389"/>
      <c r="K204" s="1389"/>
      <c r="L204" s="1389"/>
      <c r="M204" s="1389"/>
      <c r="P204" s="1800">
        <f>M26</f>
        <v>4393099</v>
      </c>
      <c r="Q204" s="1776"/>
      <c r="R204" s="1776"/>
      <c r="S204" s="1776"/>
      <c r="T204" s="1776"/>
      <c r="U204" s="1776"/>
      <c r="BC204" t="s">
        <v>1062</v>
      </c>
      <c r="BN204" s="23" t="s">
        <v>703</v>
      </c>
      <c r="BS204">
        <v>6</v>
      </c>
      <c r="BT204" s="32" t="s">
        <v>196</v>
      </c>
      <c r="BU204" s="14"/>
      <c r="CB204" s="350" t="s">
        <v>193</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700</v>
      </c>
      <c r="CS204" s="323">
        <v>319236</v>
      </c>
      <c r="CT204" s="323">
        <v>368076</v>
      </c>
      <c r="CU204" s="323">
        <v>444000</v>
      </c>
      <c r="CV204" s="323">
        <v>568320</v>
      </c>
      <c r="CW204" s="323">
        <v>633144</v>
      </c>
      <c r="CX204" s="14"/>
      <c r="CY204" s="23" t="s">
        <v>700</v>
      </c>
      <c r="CZ204" s="323">
        <v>319236</v>
      </c>
      <c r="DA204" s="323">
        <v>368076</v>
      </c>
      <c r="DB204" s="323">
        <v>444000</v>
      </c>
      <c r="DC204" s="323">
        <v>568320</v>
      </c>
      <c r="DD204" s="323">
        <v>633144</v>
      </c>
    </row>
    <row r="205" spans="1:108" ht="12.95" customHeight="1">
      <c r="C205" s="21"/>
      <c r="D205" s="1795" t="s">
        <v>1246</v>
      </c>
      <c r="E205" s="1389"/>
      <c r="F205" s="1389"/>
      <c r="G205" s="1389"/>
      <c r="H205" s="1389"/>
      <c r="I205" s="1389"/>
      <c r="J205" s="1389"/>
      <c r="K205" s="1389"/>
      <c r="L205" s="1389"/>
      <c r="M205" s="1389"/>
      <c r="P205" s="1776">
        <f>M27</f>
        <v>0</v>
      </c>
      <c r="Q205" s="1776"/>
      <c r="R205" s="1776"/>
      <c r="S205" s="1776"/>
      <c r="T205" s="1776"/>
      <c r="U205" s="1776"/>
      <c r="V205" s="28"/>
      <c r="W205" s="3" t="s">
        <v>1719</v>
      </c>
      <c r="Z205" s="1793" t="s">
        <v>2219</v>
      </c>
      <c r="AA205" s="1793"/>
      <c r="AB205" s="1793"/>
      <c r="AC205" s="1793"/>
      <c r="AD205" s="1793"/>
      <c r="AE205" s="1793"/>
      <c r="AF205" s="1793"/>
      <c r="AG205" s="1793"/>
      <c r="AH205" s="1793"/>
      <c r="AI205" s="1793"/>
      <c r="AJ205" s="1793"/>
      <c r="AK205" s="1793"/>
      <c r="AL205" s="1793"/>
      <c r="AM205" s="1793"/>
      <c r="AN205" s="1793"/>
      <c r="AP205" s="1378"/>
      <c r="AQ205" s="1378"/>
      <c r="BC205" t="s">
        <v>610</v>
      </c>
      <c r="BN205" s="23" t="s">
        <v>109</v>
      </c>
      <c r="BS205">
        <v>4</v>
      </c>
      <c r="BT205" s="32" t="s">
        <v>173</v>
      </c>
      <c r="BU205" s="14"/>
      <c r="CB205" s="350" t="s">
        <v>194</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701</v>
      </c>
      <c r="CS205" s="321">
        <v>352022</v>
      </c>
      <c r="CT205" s="321">
        <v>405878</v>
      </c>
      <c r="CU205" s="321">
        <v>489600</v>
      </c>
      <c r="CV205" s="321">
        <v>626688</v>
      </c>
      <c r="CW205" s="321">
        <v>698170</v>
      </c>
      <c r="CX205" s="14"/>
      <c r="CY205" s="23" t="s">
        <v>701</v>
      </c>
      <c r="CZ205" s="321">
        <v>352022</v>
      </c>
      <c r="DA205" s="321">
        <v>405878</v>
      </c>
      <c r="DB205" s="321">
        <v>489600</v>
      </c>
      <c r="DC205" s="321">
        <v>626688</v>
      </c>
      <c r="DD205" s="321">
        <v>698170</v>
      </c>
    </row>
    <row r="206" spans="1:108" ht="12.95" customHeight="1">
      <c r="D206" s="29"/>
      <c r="E206" s="29"/>
      <c r="F206" s="29"/>
      <c r="G206" s="29"/>
      <c r="H206" s="29"/>
      <c r="I206" s="29"/>
      <c r="J206" s="29"/>
      <c r="K206" s="29"/>
      <c r="L206" s="29"/>
      <c r="M206" s="29"/>
      <c r="N206" s="29"/>
      <c r="O206" s="29"/>
      <c r="P206" s="29"/>
      <c r="BC206" t="s">
        <v>1025</v>
      </c>
      <c r="BN206" s="23" t="s">
        <v>110</v>
      </c>
      <c r="BS206">
        <v>5</v>
      </c>
      <c r="BT206" s="32" t="s">
        <v>197</v>
      </c>
      <c r="BU206" s="14"/>
      <c r="CB206" s="350" t="s">
        <v>195</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702</v>
      </c>
      <c r="CS206" s="323">
        <v>352022</v>
      </c>
      <c r="CT206" s="323">
        <v>405878</v>
      </c>
      <c r="CU206" s="323">
        <v>489600</v>
      </c>
      <c r="CV206" s="323">
        <v>626688</v>
      </c>
      <c r="CW206" s="323">
        <v>698170</v>
      </c>
      <c r="CX206" s="14"/>
      <c r="CY206" s="23" t="s">
        <v>702</v>
      </c>
      <c r="CZ206" s="323">
        <v>352022</v>
      </c>
      <c r="DA206" s="323">
        <v>405878</v>
      </c>
      <c r="DB206" s="323">
        <v>489600</v>
      </c>
      <c r="DC206" s="323">
        <v>626688</v>
      </c>
      <c r="DD206" s="323">
        <v>698170</v>
      </c>
    </row>
    <row r="207" spans="1:108" ht="12.95" customHeight="1">
      <c r="A207" s="2" t="s">
        <v>589</v>
      </c>
      <c r="C207" s="2" t="s">
        <v>551</v>
      </c>
      <c r="BC207" s="437" t="s">
        <v>1063</v>
      </c>
      <c r="BN207" s="23" t="s">
        <v>45</v>
      </c>
      <c r="BS207">
        <v>6</v>
      </c>
      <c r="BT207" s="32" t="s">
        <v>198</v>
      </c>
      <c r="CB207" s="350" t="s">
        <v>196</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703</v>
      </c>
      <c r="CS207" s="321">
        <v>384234</v>
      </c>
      <c r="CT207" s="321">
        <v>443018</v>
      </c>
      <c r="CU207" s="321">
        <v>534400</v>
      </c>
      <c r="CV207" s="321">
        <v>684032</v>
      </c>
      <c r="CW207" s="321">
        <v>762054</v>
      </c>
      <c r="CX207" s="14"/>
      <c r="CY207" s="23" t="s">
        <v>703</v>
      </c>
      <c r="CZ207" s="321">
        <v>384234</v>
      </c>
      <c r="DA207" s="321">
        <v>443018</v>
      </c>
      <c r="DB207" s="321">
        <v>534400</v>
      </c>
      <c r="DC207" s="321">
        <v>684032</v>
      </c>
      <c r="DD207" s="321">
        <v>762054</v>
      </c>
    </row>
    <row r="208" spans="1:108" ht="12.95" customHeight="1">
      <c r="C208" s="21"/>
      <c r="D208" s="1463" t="s">
        <v>2616</v>
      </c>
      <c r="E208" s="1463"/>
      <c r="F208" s="1463"/>
      <c r="G208" s="1463"/>
      <c r="H208" s="1463"/>
      <c r="I208" s="1463"/>
      <c r="J208" s="1463"/>
      <c r="K208" s="1463"/>
      <c r="L208" s="1463"/>
      <c r="M208" s="1463"/>
      <c r="BC208" s="3" t="s">
        <v>2206</v>
      </c>
      <c r="BN208" s="23" t="s">
        <v>46</v>
      </c>
      <c r="BS208">
        <v>7</v>
      </c>
      <c r="BT208" s="32" t="s">
        <v>199</v>
      </c>
      <c r="CB208" s="350" t="s">
        <v>173</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2.95" customHeight="1">
      <c r="BC209" t="s">
        <v>1064</v>
      </c>
      <c r="BN209" s="23" t="s">
        <v>47</v>
      </c>
      <c r="BS209">
        <v>7</v>
      </c>
      <c r="BT209" s="32" t="s">
        <v>200</v>
      </c>
      <c r="CB209" s="350" t="s">
        <v>197</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2.95" customHeight="1">
      <c r="A210" s="2" t="s">
        <v>590</v>
      </c>
      <c r="C210" s="2" t="s">
        <v>387</v>
      </c>
      <c r="BC210" t="s">
        <v>659</v>
      </c>
      <c r="BN210" s="23" t="s">
        <v>48</v>
      </c>
      <c r="BS210">
        <v>5</v>
      </c>
      <c r="BT210" s="32" t="s">
        <v>201</v>
      </c>
      <c r="CB210" s="350" t="s">
        <v>198</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2.95" customHeight="1">
      <c r="C211" s="21"/>
      <c r="D211" s="1463" t="s">
        <v>1856</v>
      </c>
      <c r="E211" s="1463"/>
      <c r="F211" s="1463"/>
      <c r="G211" s="1463"/>
      <c r="H211" s="1463"/>
      <c r="I211" s="1463"/>
      <c r="J211" s="1463"/>
      <c r="K211" s="1463"/>
      <c r="L211" s="1463"/>
      <c r="M211" s="1463"/>
      <c r="BN211" s="23" t="s">
        <v>129</v>
      </c>
      <c r="BS211">
        <v>7</v>
      </c>
      <c r="BT211" s="32" t="s">
        <v>130</v>
      </c>
      <c r="CB211" s="350" t="s">
        <v>199</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2.95" customHeight="1">
      <c r="C212" s="21"/>
      <c r="D212" s="3" t="s">
        <v>2230</v>
      </c>
      <c r="Q212" s="1379">
        <v>0</v>
      </c>
      <c r="R212" s="1379"/>
      <c r="T212" s="1791">
        <f>IFERROR(Q212/AG440,0)</f>
        <v>0</v>
      </c>
      <c r="U212" s="1792"/>
      <c r="BC212" t="s">
        <v>306</v>
      </c>
      <c r="BI212" t="s">
        <v>1183</v>
      </c>
      <c r="BN212" s="23" t="s">
        <v>49</v>
      </c>
      <c r="BS212">
        <v>4</v>
      </c>
      <c r="BT212" s="32" t="s">
        <v>202</v>
      </c>
      <c r="CB212" s="350" t="s">
        <v>200</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2.95" customHeight="1">
      <c r="D213" s="1145" t="s">
        <v>2473</v>
      </c>
      <c r="BC213" t="s">
        <v>526</v>
      </c>
      <c r="BI213" s="3" t="s">
        <v>2227</v>
      </c>
      <c r="BN213" s="23" t="s">
        <v>50</v>
      </c>
      <c r="BS213">
        <v>6</v>
      </c>
      <c r="BT213" s="32" t="s">
        <v>203</v>
      </c>
      <c r="CB213" s="350" t="s">
        <v>201</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2.95" customHeight="1">
      <c r="D214" s="1797" t="s">
        <v>591</v>
      </c>
      <c r="E214" s="1797"/>
      <c r="F214" s="1797"/>
      <c r="G214" s="1797"/>
      <c r="H214" s="1797"/>
      <c r="I214" s="1797"/>
      <c r="J214" s="1797"/>
      <c r="K214" s="1797"/>
      <c r="L214" s="1797"/>
      <c r="M214" s="1797"/>
      <c r="N214" s="1797"/>
      <c r="O214" s="1797"/>
      <c r="P214" s="1797"/>
      <c r="Q214" s="1797"/>
      <c r="R214" s="1797"/>
      <c r="S214" s="1797"/>
      <c r="T214" s="1797"/>
      <c r="U214" s="1797"/>
      <c r="V214" s="1797"/>
      <c r="W214" s="1797"/>
      <c r="X214" s="1797"/>
      <c r="Y214" s="1797"/>
      <c r="Z214" s="1797"/>
      <c r="AU214" s="21"/>
      <c r="AV214" s="21"/>
      <c r="AW214" s="21"/>
      <c r="AX214" s="21"/>
      <c r="AY214" s="21"/>
      <c r="BC214" t="s">
        <v>530</v>
      </c>
      <c r="BI214" s="3" t="s">
        <v>2220</v>
      </c>
      <c r="BN214" s="23" t="s">
        <v>325</v>
      </c>
      <c r="BS214">
        <v>6</v>
      </c>
      <c r="BT214" s="32" t="s">
        <v>204</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2.95" customHeight="1">
      <c r="D215" s="3" t="s">
        <v>1652</v>
      </c>
      <c r="Z215" s="40"/>
      <c r="AB215" s="1796"/>
      <c r="AC215" s="1796"/>
      <c r="AD215" s="1796"/>
      <c r="AE215" s="1796"/>
      <c r="AF215" s="1796"/>
      <c r="AG215" s="1796"/>
      <c r="AH215" s="1796"/>
      <c r="AI215" s="1796"/>
      <c r="AJ215" s="1796"/>
      <c r="AK215" s="1796"/>
      <c r="AL215" s="1796"/>
      <c r="AM215" s="21"/>
      <c r="AN215" s="21"/>
      <c r="AO215" s="21"/>
      <c r="AP215" s="21"/>
      <c r="AQ215" s="21"/>
      <c r="AR215" s="21"/>
      <c r="AS215" s="21"/>
      <c r="AT215" s="21"/>
      <c r="AU215" s="21"/>
      <c r="AV215" s="21"/>
      <c r="AW215" s="21"/>
      <c r="AX215" s="21"/>
      <c r="AY215" s="21"/>
      <c r="BC215" t="s">
        <v>527</v>
      </c>
      <c r="BI215" s="3" t="s">
        <v>2221</v>
      </c>
      <c r="CB215" s="350" t="s">
        <v>202</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2.95" customHeight="1">
      <c r="D216" s="3" t="s">
        <v>1650</v>
      </c>
      <c r="Z216" s="40"/>
      <c r="AB216" s="1796"/>
      <c r="AC216" s="1796"/>
      <c r="AD216" s="1796"/>
      <c r="AE216" s="1796"/>
      <c r="AF216" s="1796"/>
      <c r="AG216" s="1796"/>
      <c r="AH216" s="1796"/>
      <c r="AI216" s="1796"/>
      <c r="AJ216" s="1796"/>
      <c r="AK216" s="1796"/>
      <c r="AL216" s="1796"/>
      <c r="AM216" s="21"/>
      <c r="AN216" s="21"/>
      <c r="AO216" s="21"/>
      <c r="AP216" s="21"/>
      <c r="AQ216" s="21"/>
      <c r="AR216" s="21"/>
      <c r="AS216" s="21"/>
      <c r="AT216" s="21"/>
      <c r="AU216" s="21"/>
      <c r="AV216" s="21"/>
      <c r="AW216" s="21"/>
      <c r="AX216" s="21"/>
      <c r="AY216" s="21"/>
      <c r="BC216" t="s">
        <v>566</v>
      </c>
      <c r="BI216" t="s">
        <v>2219</v>
      </c>
      <c r="CB216" s="350" t="s">
        <v>203</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2.95"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528</v>
      </c>
      <c r="BI217" t="s">
        <v>2222</v>
      </c>
      <c r="CB217" s="350" t="s">
        <v>204</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325</v>
      </c>
      <c r="CS217" s="321">
        <v>331890</v>
      </c>
      <c r="CT217" s="321">
        <v>382666</v>
      </c>
      <c r="CU217" s="321">
        <v>461600</v>
      </c>
      <c r="CV217" s="321">
        <v>590848</v>
      </c>
      <c r="CW217" s="321">
        <v>658242</v>
      </c>
      <c r="CX217" s="14"/>
      <c r="CY217" s="23" t="s">
        <v>325</v>
      </c>
      <c r="CZ217" s="321">
        <v>331890</v>
      </c>
      <c r="DA217" s="321">
        <v>382666</v>
      </c>
      <c r="DB217" s="321">
        <v>461600</v>
      </c>
      <c r="DC217" s="321">
        <v>590848</v>
      </c>
      <c r="DD217" s="321">
        <v>658242</v>
      </c>
    </row>
    <row r="218" spans="1:108" ht="12.95" customHeight="1">
      <c r="A218" s="2" t="s">
        <v>592</v>
      </c>
      <c r="C218" s="2" t="s">
        <v>2233</v>
      </c>
      <c r="D218" s="28"/>
      <c r="AC218" s="2" t="s">
        <v>2462</v>
      </c>
      <c r="BC218" t="s">
        <v>529</v>
      </c>
    </row>
    <row r="219" spans="1:108" ht="12.95" customHeight="1">
      <c r="A219" s="2"/>
      <c r="C219" s="2"/>
      <c r="D219" s="3" t="s">
        <v>2463</v>
      </c>
      <c r="AZ219" s="3"/>
      <c r="BA219" s="3"/>
      <c r="BC219" t="s">
        <v>376</v>
      </c>
    </row>
    <row r="220" spans="1:108" ht="12.95" customHeight="1">
      <c r="A220" s="2"/>
      <c r="C220" s="2"/>
      <c r="D220" s="1463" t="s">
        <v>611</v>
      </c>
      <c r="E220" s="1463"/>
      <c r="F220" s="1463"/>
      <c r="G220" s="1463"/>
      <c r="H220" s="1463"/>
      <c r="I220" s="1463"/>
      <c r="J220" s="1463"/>
      <c r="K220" s="1463"/>
      <c r="L220" s="1463"/>
      <c r="M220" s="1463"/>
      <c r="N220" s="1463"/>
      <c r="O220" s="1463"/>
      <c r="P220" s="1463"/>
      <c r="Q220" s="1463"/>
      <c r="R220" s="1463"/>
      <c r="S220" s="1463"/>
      <c r="T220" s="1463"/>
      <c r="U220" s="1463"/>
      <c r="V220" s="1463"/>
      <c r="W220" s="1463"/>
      <c r="X220" s="1463"/>
      <c r="Y220" s="1463"/>
      <c r="Z220" s="1463"/>
      <c r="AC220" s="1740" t="s">
        <v>2464</v>
      </c>
      <c r="AD220" s="1794"/>
      <c r="AE220" s="1794"/>
      <c r="AF220" s="1794"/>
      <c r="AG220" s="1794"/>
      <c r="AH220" s="1794"/>
      <c r="AI220" s="1794"/>
      <c r="AJ220" s="1794"/>
      <c r="AK220" s="1794"/>
      <c r="AL220" s="1794"/>
      <c r="AM220" s="1794"/>
      <c r="AN220" s="1794"/>
      <c r="AO220" s="1794"/>
      <c r="AP220" s="1794"/>
      <c r="AQ220" s="1794"/>
      <c r="BA220" s="3"/>
      <c r="BC220" t="s">
        <v>299</v>
      </c>
    </row>
    <row r="221" spans="1:108" ht="12.95" customHeight="1">
      <c r="A221" s="2"/>
      <c r="B221" s="14"/>
      <c r="C221" s="2"/>
      <c r="BA221" s="3"/>
    </row>
    <row r="222" spans="1:108" ht="12.95" customHeight="1">
      <c r="A222" s="1365" t="s">
        <v>540</v>
      </c>
      <c r="B222" s="1365"/>
      <c r="C222" s="1365"/>
      <c r="D222" s="1365"/>
      <c r="E222" s="1365"/>
      <c r="F222" s="1365"/>
      <c r="G222" s="1365"/>
      <c r="H222" s="1365"/>
      <c r="I222" s="1365"/>
      <c r="J222" s="1365"/>
      <c r="K222" s="1365"/>
      <c r="L222" s="1365"/>
      <c r="M222" s="1365"/>
      <c r="N222" s="1365"/>
      <c r="O222" s="1365"/>
      <c r="P222" s="1365"/>
      <c r="Q222" s="1365"/>
      <c r="R222" s="1365"/>
      <c r="S222" s="1365"/>
      <c r="T222" s="1365"/>
      <c r="U222" s="1365"/>
      <c r="V222" s="1365"/>
      <c r="W222" s="1365"/>
      <c r="X222" s="1365"/>
      <c r="Y222" s="1365"/>
      <c r="Z222" s="1365"/>
      <c r="AA222" s="1365"/>
      <c r="AB222" s="1365"/>
      <c r="AC222" s="1365"/>
      <c r="AD222" s="1365"/>
      <c r="AE222" s="1365"/>
      <c r="AF222" s="1365"/>
      <c r="AG222" s="1365"/>
      <c r="AH222" s="1365"/>
      <c r="AI222" s="1365"/>
      <c r="AJ222" s="1365"/>
      <c r="AK222" s="1365"/>
      <c r="AL222" s="1365"/>
      <c r="AM222" s="1365"/>
      <c r="AN222" s="1365"/>
      <c r="AO222" s="1365"/>
      <c r="AP222" s="1365"/>
      <c r="AQ222" s="1365"/>
      <c r="AR222" s="1365"/>
      <c r="AS222" s="1365"/>
      <c r="AT222" s="1365"/>
      <c r="AU222" s="95"/>
      <c r="AV222" s="95"/>
      <c r="AW222" s="95"/>
      <c r="AX222" s="95"/>
      <c r="AY222" s="95"/>
      <c r="AZ222" s="3"/>
      <c r="BA222" s="3"/>
      <c r="BP222" s="34"/>
    </row>
    <row r="223" spans="1:108" ht="12.95" customHeight="1">
      <c r="A223" s="1365"/>
      <c r="B223" s="1365"/>
      <c r="C223" s="1365"/>
      <c r="D223" s="1365"/>
      <c r="E223" s="1365"/>
      <c r="F223" s="1365"/>
      <c r="G223" s="1365"/>
      <c r="H223" s="1365"/>
      <c r="I223" s="1365"/>
      <c r="J223" s="1365"/>
      <c r="K223" s="1365"/>
      <c r="L223" s="1365"/>
      <c r="M223" s="1365"/>
      <c r="N223" s="1365"/>
      <c r="O223" s="1365"/>
      <c r="P223" s="1365"/>
      <c r="Q223" s="1365"/>
      <c r="R223" s="1365"/>
      <c r="S223" s="1365"/>
      <c r="T223" s="1365"/>
      <c r="U223" s="1365"/>
      <c r="V223" s="1365"/>
      <c r="W223" s="1365"/>
      <c r="X223" s="1365"/>
      <c r="Y223" s="1365"/>
      <c r="Z223" s="1365"/>
      <c r="AA223" s="1365"/>
      <c r="AB223" s="1365"/>
      <c r="AC223" s="1365"/>
      <c r="AD223" s="1365"/>
      <c r="AE223" s="1365"/>
      <c r="AF223" s="1365"/>
      <c r="AG223" s="1365"/>
      <c r="AH223" s="1365"/>
      <c r="AI223" s="1365"/>
      <c r="AJ223" s="1365"/>
      <c r="AK223" s="1365"/>
      <c r="AL223" s="1365"/>
      <c r="AM223" s="1365"/>
      <c r="AN223" s="1365"/>
      <c r="AO223" s="1365"/>
      <c r="AP223" s="1365"/>
      <c r="AQ223" s="1365"/>
      <c r="AR223" s="1365"/>
      <c r="AS223" s="1365"/>
      <c r="AT223" s="1365"/>
      <c r="BA223" s="3"/>
      <c r="BB223" s="3"/>
      <c r="BQ223" s="34"/>
    </row>
    <row r="224" spans="1:108" ht="12.95" customHeight="1">
      <c r="AZ224" s="4"/>
      <c r="BA224" s="3"/>
      <c r="BB224" s="3"/>
      <c r="BQ224" s="34"/>
    </row>
    <row r="225" spans="1:59" ht="12.95" customHeight="1">
      <c r="A225" s="2" t="s">
        <v>318</v>
      </c>
      <c r="B225" s="2"/>
      <c r="C225" s="2" t="s">
        <v>2082</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2.95" customHeight="1">
      <c r="B226" s="4"/>
      <c r="D226" s="4" t="s">
        <v>607</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79" t="s">
        <v>591</v>
      </c>
      <c r="AJ226" s="1379"/>
      <c r="AL226" s="3"/>
      <c r="AM226" s="3"/>
      <c r="AN226" s="3"/>
      <c r="AO226" s="3"/>
      <c r="AP226" s="3"/>
      <c r="AQ226" s="3"/>
      <c r="AR226" s="3"/>
      <c r="AS226" s="3"/>
      <c r="AT226" s="3"/>
      <c r="AU226" s="3"/>
      <c r="AV226" s="3"/>
      <c r="AW226" s="3"/>
      <c r="AX226" s="3"/>
      <c r="AY226" s="3"/>
      <c r="AZ226" s="4"/>
      <c r="BB226" s="204" t="s">
        <v>538</v>
      </c>
      <c r="BG226" s="241">
        <f>IF(AND(AND($M$249="for profit",$M$257="for profit",$M$265="nonprofit")),2,0)</f>
        <v>0</v>
      </c>
    </row>
    <row r="227" spans="1:59" ht="12.95" customHeight="1">
      <c r="B227" s="4"/>
      <c r="D227" s="4" t="s">
        <v>554</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79" t="s">
        <v>591</v>
      </c>
      <c r="AJ227" s="1379"/>
      <c r="AL227" s="3"/>
      <c r="AM227" s="3"/>
      <c r="AN227" s="3"/>
      <c r="AO227" s="3"/>
      <c r="AP227" s="3"/>
      <c r="AQ227" s="3"/>
      <c r="AR227" s="3"/>
      <c r="AS227" s="3"/>
      <c r="AT227" s="3"/>
      <c r="AU227" s="3"/>
      <c r="AV227" s="3"/>
      <c r="AW227" s="3"/>
      <c r="AX227" s="3"/>
      <c r="AY227" s="3"/>
      <c r="BA227" s="3"/>
      <c r="BB227" s="204" t="s">
        <v>538</v>
      </c>
      <c r="BG227" s="241">
        <f>IF(AND(AND($M$249="for profit",$M$257="nonprofit",$M$265="for profit")),2,0)</f>
        <v>0</v>
      </c>
    </row>
    <row r="228" spans="1:59" ht="12.95"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79" t="s">
        <v>545</v>
      </c>
      <c r="AJ228" s="1379"/>
      <c r="AL228" s="3"/>
      <c r="AM228" s="3"/>
      <c r="AN228" s="3"/>
      <c r="AO228" s="3"/>
      <c r="AP228" s="3"/>
      <c r="AQ228" s="3"/>
      <c r="AR228" s="3"/>
      <c r="AS228" s="3"/>
      <c r="AT228" s="3"/>
      <c r="AU228" s="3"/>
      <c r="AV228" s="3"/>
      <c r="AW228" s="3"/>
      <c r="AX228" s="3"/>
      <c r="AY228" s="3"/>
      <c r="AZ228" s="4"/>
      <c r="BA228" s="3"/>
      <c r="BB228" s="204" t="s">
        <v>538</v>
      </c>
      <c r="BG228" s="241">
        <f>IF(AND(AND($M$249="nonprofit",$M$257="for profit",$M$265="for profit")),2,0)</f>
        <v>0</v>
      </c>
    </row>
    <row r="229" spans="1:59" ht="12.95" customHeight="1">
      <c r="B229" s="4"/>
      <c r="D229" s="4" t="s">
        <v>293</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79" t="s">
        <v>591</v>
      </c>
      <c r="AJ229" s="1379"/>
      <c r="AL229" s="3"/>
      <c r="AM229" s="3"/>
      <c r="AN229" s="3"/>
      <c r="AO229" s="3"/>
      <c r="AP229" s="3"/>
      <c r="AQ229" s="3"/>
      <c r="AR229" s="3"/>
      <c r="AS229" s="3"/>
      <c r="AT229" s="3"/>
      <c r="AU229" s="3"/>
      <c r="AV229" s="3"/>
      <c r="AW229" s="3"/>
      <c r="AX229" s="3"/>
      <c r="AY229" s="3"/>
      <c r="BA229" s="3"/>
      <c r="BB229" s="204" t="s">
        <v>538</v>
      </c>
      <c r="BG229" s="241">
        <f>IF(AND(AND($M$249="for profit",$M$257="nonprofit",$M$265="(select one)")),2,0)</f>
        <v>2</v>
      </c>
    </row>
    <row r="230" spans="1:5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538</v>
      </c>
      <c r="BG230" s="240">
        <f>IF(AND(AND($M$249="nonprofit",$M$257="for profit",$M$265="(select one)")),2,0)</f>
        <v>0</v>
      </c>
    </row>
    <row r="231" spans="1:59" ht="12.95" customHeight="1">
      <c r="A231" s="2" t="s">
        <v>576</v>
      </c>
      <c r="B231" s="4"/>
      <c r="C231" s="2" t="s">
        <v>2083</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2.95" customHeight="1">
      <c r="D232" s="4" t="s">
        <v>470</v>
      </c>
      <c r="E232" s="4"/>
      <c r="F232" s="4"/>
      <c r="G232" s="4"/>
      <c r="H232" s="4"/>
      <c r="I232" s="4"/>
      <c r="J232" s="4"/>
      <c r="K232" s="4"/>
      <c r="M232" s="1786" t="str">
        <f>H16</f>
        <v>MRK Partners, Inc.</v>
      </c>
      <c r="N232" s="1786"/>
      <c r="O232" s="1786"/>
      <c r="P232" s="1786"/>
      <c r="Q232" s="1786"/>
      <c r="R232" s="1786"/>
      <c r="S232" s="1786"/>
      <c r="T232" s="1786"/>
      <c r="U232" s="1786"/>
      <c r="V232" s="1786"/>
      <c r="W232" s="1786"/>
      <c r="X232" s="1786"/>
      <c r="Y232" s="1786"/>
      <c r="Z232" s="1786"/>
      <c r="AA232" s="1786"/>
      <c r="AB232" s="1786"/>
      <c r="AC232" s="1786"/>
      <c r="AD232" s="1786"/>
      <c r="AE232" s="1786"/>
      <c r="AF232" s="1786"/>
      <c r="AG232" s="1786"/>
      <c r="AH232" s="1786"/>
      <c r="AI232" s="1786"/>
      <c r="AJ232" s="1786"/>
      <c r="AK232" s="1786"/>
      <c r="AZ232" s="4"/>
      <c r="BA232" s="3"/>
      <c r="BB232" s="205" t="s">
        <v>538</v>
      </c>
      <c r="BG232" s="241">
        <f>IF(AND(AND($M$249="nonprofit",$M$257="nonprofit",$M$265="for profit")),2,0)</f>
        <v>0</v>
      </c>
    </row>
    <row r="233" spans="1:59" ht="12.95" customHeight="1">
      <c r="D233" s="4" t="s">
        <v>85</v>
      </c>
      <c r="E233" s="4"/>
      <c r="F233" s="4"/>
      <c r="G233" s="4"/>
      <c r="H233" s="4"/>
      <c r="I233" s="4"/>
      <c r="J233" s="4"/>
      <c r="K233" s="4"/>
      <c r="M233" s="1463" t="s">
        <v>2626</v>
      </c>
      <c r="N233" s="1463"/>
      <c r="O233" s="1463"/>
      <c r="P233" s="1463"/>
      <c r="Q233" s="1463"/>
      <c r="R233" s="1463"/>
      <c r="S233" s="1463"/>
      <c r="T233" s="1463"/>
      <c r="U233" s="1463"/>
      <c r="V233" s="1463"/>
      <c r="W233" s="1463"/>
      <c r="X233" s="1463"/>
      <c r="Y233" s="1463"/>
      <c r="Z233" s="1463"/>
      <c r="AA233" s="1463"/>
      <c r="AB233" s="1463"/>
      <c r="AC233" s="1463"/>
      <c r="AD233" s="1463"/>
      <c r="AE233" s="1463"/>
      <c r="BB233" s="205" t="s">
        <v>538</v>
      </c>
      <c r="BG233" s="241">
        <f>IF(AND(AND($M$249="nonprofit",$M$257="for profit",$M$265="nonprofit")),2,0)</f>
        <v>0</v>
      </c>
    </row>
    <row r="234" spans="1:59" ht="12.95" customHeight="1">
      <c r="D234" s="4" t="s">
        <v>580</v>
      </c>
      <c r="E234" s="4"/>
      <c r="M234" s="1463" t="s">
        <v>2627</v>
      </c>
      <c r="N234" s="1463"/>
      <c r="O234" s="1463"/>
      <c r="P234" s="1463"/>
      <c r="Q234" s="1463"/>
      <c r="R234" s="1463"/>
      <c r="S234" s="1463"/>
      <c r="T234" s="1463"/>
      <c r="V234" s="33" t="s">
        <v>86</v>
      </c>
      <c r="W234" s="1483" t="s">
        <v>2628</v>
      </c>
      <c r="X234" s="1483"/>
      <c r="Y234" s="4" t="s">
        <v>583</v>
      </c>
      <c r="AC234" s="1463">
        <v>90266</v>
      </c>
      <c r="AD234" s="1463"/>
      <c r="AE234" s="1463"/>
      <c r="AU234" s="4"/>
      <c r="AV234" s="4"/>
      <c r="AW234" s="4"/>
      <c r="AX234" s="4"/>
      <c r="AY234" s="4"/>
      <c r="AZ234" s="4"/>
      <c r="BB234" s="205" t="s">
        <v>538</v>
      </c>
      <c r="BG234" s="240">
        <f>IF(AND(AND($M$249="for profit",$M$257="nonprofit",$M$265="nonprofit")),2,0)</f>
        <v>0</v>
      </c>
    </row>
    <row r="235" spans="1:59" ht="12.95" customHeight="1">
      <c r="D235" s="4" t="s">
        <v>87</v>
      </c>
      <c r="E235" s="4"/>
      <c r="F235" s="4"/>
      <c r="G235" s="4"/>
      <c r="H235" s="4"/>
      <c r="I235" s="4"/>
      <c r="J235" s="4"/>
      <c r="K235" s="19"/>
      <c r="M235" s="1463" t="s">
        <v>2612</v>
      </c>
      <c r="N235" s="1463"/>
      <c r="O235" s="1463"/>
      <c r="P235" s="1463"/>
      <c r="Q235" s="1463"/>
      <c r="R235" s="1463"/>
      <c r="S235" s="1463"/>
      <c r="T235" s="1463"/>
      <c r="U235" s="1463"/>
      <c r="V235" s="1463"/>
      <c r="W235" s="1463"/>
      <c r="X235" s="1463"/>
      <c r="Y235" s="1463"/>
      <c r="Z235" s="1463"/>
      <c r="AA235" s="1463"/>
      <c r="AB235" s="1463"/>
      <c r="AC235" s="1463"/>
      <c r="AD235" s="1463"/>
      <c r="AE235" s="1463"/>
      <c r="AI235" s="4"/>
      <c r="AJ235" s="4"/>
      <c r="AK235" s="4"/>
      <c r="AL235" s="4"/>
      <c r="AM235" s="4"/>
      <c r="AN235" s="4"/>
      <c r="AO235" s="4"/>
      <c r="AP235" s="4"/>
      <c r="AQ235" s="4"/>
      <c r="AR235" s="4"/>
      <c r="AS235" s="4"/>
      <c r="AT235" s="4"/>
      <c r="BB235" s="205"/>
      <c r="BG235" s="204"/>
    </row>
    <row r="236" spans="1:59" ht="12.95" customHeight="1">
      <c r="D236" s="4" t="s">
        <v>88</v>
      </c>
      <c r="E236" s="4"/>
      <c r="F236" s="4"/>
      <c r="M236" s="1505" t="s">
        <v>2629</v>
      </c>
      <c r="N236" s="1505"/>
      <c r="O236" s="1505"/>
      <c r="P236" s="1505"/>
      <c r="Q236" s="1505"/>
      <c r="R236" s="1505"/>
      <c r="S236" s="4" t="s">
        <v>205</v>
      </c>
      <c r="T236" s="4"/>
      <c r="U236" s="1483"/>
      <c r="V236" s="1483"/>
      <c r="W236" s="1483"/>
      <c r="X236" s="4" t="s">
        <v>89</v>
      </c>
      <c r="Z236" s="1505"/>
      <c r="AA236" s="1505"/>
      <c r="AB236" s="1505"/>
      <c r="AC236" s="1505"/>
      <c r="AD236" s="1505"/>
      <c r="AE236" s="1505"/>
      <c r="AU236" s="4"/>
      <c r="AV236" s="4"/>
      <c r="AW236" s="4"/>
      <c r="AX236" s="4"/>
      <c r="AY236" s="4"/>
      <c r="AZ236" s="4"/>
      <c r="BB236" s="204" t="s">
        <v>537</v>
      </c>
      <c r="BG236" s="241">
        <f>IF(AND(AND($M$249="nonprofit",$M$257="nonprofit",$M$265="(select one)")),1,0)</f>
        <v>0</v>
      </c>
    </row>
    <row r="237" spans="1:59" ht="12.95" customHeight="1">
      <c r="D237" s="4" t="s">
        <v>90</v>
      </c>
      <c r="E237" s="4"/>
      <c r="F237" s="4"/>
      <c r="M237" s="1780" t="s">
        <v>2630</v>
      </c>
      <c r="N237" s="1780"/>
      <c r="O237" s="1780"/>
      <c r="P237" s="1780"/>
      <c r="Q237" s="1780"/>
      <c r="R237" s="1780"/>
      <c r="S237" s="1780"/>
      <c r="T237" s="1780"/>
      <c r="U237" s="1780"/>
      <c r="V237" s="1780"/>
      <c r="W237" s="1780"/>
      <c r="X237" s="1780"/>
      <c r="Y237" s="1780"/>
      <c r="Z237" s="1780"/>
      <c r="AA237" s="1780"/>
      <c r="AB237" s="1780"/>
      <c r="AC237" s="1780"/>
      <c r="AD237" s="1780"/>
      <c r="AE237" s="1780"/>
      <c r="AF237" s="4"/>
      <c r="AG237" s="4"/>
      <c r="AH237" s="4"/>
      <c r="AI237" s="4"/>
      <c r="AJ237" s="4"/>
      <c r="AK237" s="4"/>
      <c r="AL237" s="4"/>
      <c r="AM237" s="4"/>
      <c r="AN237" s="4"/>
      <c r="AO237" s="4"/>
      <c r="AP237" s="4"/>
      <c r="AQ237" s="4"/>
      <c r="AR237" s="4"/>
      <c r="AS237" s="4"/>
      <c r="AT237" s="4"/>
      <c r="AU237" s="3"/>
      <c r="AV237" s="3"/>
      <c r="AW237" s="3"/>
      <c r="AX237" s="3"/>
      <c r="AY237" s="3"/>
      <c r="BB237" s="204" t="s">
        <v>537</v>
      </c>
      <c r="BG237" s="241">
        <f>IF(AND(AND($M$249="nonprofit",$M$257="nonprofit",$M$265="nonprofit")),1,0)</f>
        <v>0</v>
      </c>
    </row>
    <row r="238" spans="1:59" ht="12.95" customHeight="1">
      <c r="A238" s="2" t="s">
        <v>586</v>
      </c>
      <c r="C238" s="2" t="s">
        <v>525</v>
      </c>
      <c r="M238" s="1397" t="s">
        <v>526</v>
      </c>
      <c r="N238" s="1397"/>
      <c r="O238" s="1397"/>
      <c r="P238" s="1397"/>
      <c r="Q238" s="1397"/>
      <c r="R238" s="1397"/>
      <c r="S238" s="1397"/>
      <c r="T238" s="1397"/>
      <c r="U238" s="204" t="s">
        <v>906</v>
      </c>
      <c r="V238" s="204"/>
      <c r="W238" s="204"/>
      <c r="X238" s="204"/>
      <c r="Y238" s="204"/>
      <c r="Z238" s="204"/>
      <c r="AA238" s="1772" t="s">
        <v>591</v>
      </c>
      <c r="AB238" s="1772"/>
      <c r="AC238" s="1772"/>
      <c r="AD238" s="1772"/>
      <c r="AE238" s="1772"/>
      <c r="AF238" s="1772"/>
      <c r="AG238" s="1772"/>
      <c r="AH238" s="1772"/>
      <c r="AI238" s="1772"/>
      <c r="AJ238" s="1772"/>
      <c r="AK238" s="1772"/>
      <c r="AL238" s="3"/>
      <c r="AM238" s="3"/>
      <c r="AN238" s="3"/>
      <c r="AO238" s="3"/>
      <c r="AP238" s="3"/>
      <c r="AQ238" s="3"/>
      <c r="AR238" s="3"/>
      <c r="AS238" s="3"/>
      <c r="AT238" s="3"/>
      <c r="AU238" s="3"/>
      <c r="AV238" s="3"/>
      <c r="AW238" s="3"/>
      <c r="AX238" s="3"/>
      <c r="AY238" s="3"/>
      <c r="BB238" s="204" t="s">
        <v>537</v>
      </c>
      <c r="BG238" s="241">
        <f>IF(AND(AND($M$249="nonprofit",$M$257="(select one)",$M$265="(select one)")),1,0)</f>
        <v>0</v>
      </c>
    </row>
    <row r="239" spans="1:59" ht="12.95" customHeight="1">
      <c r="D239" t="s">
        <v>531</v>
      </c>
      <c r="M239" s="1393"/>
      <c r="N239" s="1393"/>
      <c r="O239" s="1393"/>
      <c r="P239" s="1393"/>
      <c r="Q239" s="1393"/>
      <c r="R239" s="1393"/>
      <c r="S239" s="1393"/>
      <c r="T239" s="1393"/>
      <c r="U239" s="1393"/>
      <c r="V239" s="1393"/>
      <c r="W239" s="1393"/>
      <c r="X239" s="1393"/>
      <c r="Y239" s="1393"/>
      <c r="Z239" s="1393"/>
      <c r="AA239" s="1393"/>
      <c r="AB239" s="1393"/>
      <c r="AC239" s="1393"/>
      <c r="AD239" s="1393"/>
      <c r="AE239" s="1393"/>
      <c r="AF239" s="4"/>
      <c r="AG239" s="4"/>
      <c r="AH239" s="4"/>
      <c r="AI239" s="4"/>
      <c r="AJ239" s="4"/>
      <c r="AK239" s="3"/>
      <c r="AL239" s="3"/>
      <c r="AM239" s="3"/>
      <c r="AN239" s="3"/>
      <c r="AO239" s="3"/>
      <c r="AP239" s="3"/>
      <c r="AQ239" s="3"/>
      <c r="AR239" s="3"/>
      <c r="AS239" s="3"/>
      <c r="AT239" s="3"/>
      <c r="BB239" s="204" t="s">
        <v>877</v>
      </c>
      <c r="BG239" s="241">
        <f>IF(AND(AND($M$249="for profit",$M$257="for profit",$M$265="(select one)")),3,0)</f>
        <v>0</v>
      </c>
    </row>
    <row r="240" spans="1:59" ht="12.95" customHeight="1">
      <c r="D240" s="4"/>
      <c r="BB240" s="204" t="s">
        <v>877</v>
      </c>
      <c r="BG240" s="241">
        <f>IF(AND(AND($M$249="for profit",$M$257="for profit",$M$265="for profit")),3,0)</f>
        <v>0</v>
      </c>
    </row>
    <row r="241" spans="1:67" ht="12.95" customHeight="1">
      <c r="A241" s="2" t="s">
        <v>589</v>
      </c>
      <c r="C241" s="2" t="s">
        <v>1182</v>
      </c>
      <c r="D241" s="4"/>
      <c r="L241" s="8"/>
      <c r="M241" s="8"/>
      <c r="N241" s="8"/>
      <c r="AU241" s="3"/>
      <c r="AV241" s="3"/>
      <c r="AW241" s="3"/>
      <c r="AX241" s="3"/>
      <c r="AY241" s="3"/>
      <c r="BB241" s="204" t="s">
        <v>877</v>
      </c>
      <c r="BG241" s="241">
        <f>IF(AND(AND($M$249="for profit",$M$257="(select one)",$M$265="(select one)")),3,0)</f>
        <v>0</v>
      </c>
    </row>
    <row r="242" spans="1:67"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2.95" customHeight="1">
      <c r="A243" s="19"/>
      <c r="B243" s="4"/>
      <c r="C243" s="56" t="s">
        <v>473</v>
      </c>
      <c r="D243" s="4" t="s">
        <v>532</v>
      </c>
      <c r="E243" s="4"/>
      <c r="F243" s="4"/>
      <c r="G243" s="4"/>
      <c r="H243" s="4"/>
      <c r="I243" s="4"/>
      <c r="J243" s="4"/>
      <c r="K243" s="4"/>
      <c r="L243" s="4"/>
      <c r="M243" s="1465" t="s">
        <v>2640</v>
      </c>
      <c r="N243" s="1466"/>
      <c r="O243" s="1466"/>
      <c r="P243" s="1466"/>
      <c r="Q243" s="1466"/>
      <c r="R243" s="1466"/>
      <c r="S243" s="1466"/>
      <c r="T243" s="1466"/>
      <c r="U243" s="1466"/>
      <c r="V243" s="1466"/>
      <c r="W243" s="1466"/>
      <c r="X243" s="1466"/>
      <c r="Y243" s="1466"/>
      <c r="Z243" s="1466"/>
      <c r="AA243" s="1466"/>
      <c r="AB243" s="1466"/>
      <c r="AC243" s="1466"/>
      <c r="AD243" s="1466"/>
      <c r="AE243" s="1466"/>
      <c r="AF243" s="1466" t="s">
        <v>2631</v>
      </c>
      <c r="AG243" s="1466"/>
      <c r="AH243" s="1466"/>
      <c r="AI243" s="1466"/>
      <c r="AJ243" s="1466"/>
      <c r="AK243" s="1466"/>
      <c r="AU243" s="4"/>
      <c r="AV243" s="4"/>
      <c r="AW243" s="4"/>
      <c r="AX243" s="4"/>
      <c r="AY243" s="4"/>
      <c r="BG243">
        <f>SUM(BG226:BG241)</f>
        <v>2</v>
      </c>
    </row>
    <row r="244" spans="1:67" ht="12.95" customHeight="1">
      <c r="A244" s="19"/>
      <c r="B244" s="4"/>
      <c r="C244" s="4"/>
      <c r="D244" s="4" t="s">
        <v>85</v>
      </c>
      <c r="E244" s="4"/>
      <c r="F244" s="4"/>
      <c r="G244" s="4"/>
      <c r="H244" s="4"/>
      <c r="I244" s="4"/>
      <c r="J244" s="4"/>
      <c r="K244" s="4"/>
      <c r="L244" s="4"/>
      <c r="M244" s="1463" t="s">
        <v>2626</v>
      </c>
      <c r="N244" s="1463"/>
      <c r="O244" s="1463"/>
      <c r="P244" s="1463"/>
      <c r="Q244" s="1463"/>
      <c r="R244" s="1463"/>
      <c r="S244" s="1463"/>
      <c r="T244" s="1463"/>
      <c r="U244" s="1463"/>
      <c r="V244" s="1463"/>
      <c r="W244" s="1463"/>
      <c r="X244" s="1463"/>
      <c r="Y244" s="1463"/>
      <c r="Z244" s="1463"/>
      <c r="AA244" s="1463"/>
      <c r="AB244" s="1463"/>
      <c r="AC244" s="1463"/>
      <c r="AD244" s="1463"/>
      <c r="AE244" s="1463"/>
      <c r="AF244" s="3" t="s">
        <v>1178</v>
      </c>
      <c r="AL244" s="4"/>
      <c r="AM244" s="4"/>
      <c r="AN244" s="4"/>
      <c r="AO244" s="4"/>
      <c r="AP244" s="4"/>
      <c r="AQ244" s="4"/>
      <c r="AR244" s="4"/>
      <c r="AS244" s="4"/>
      <c r="AT244" s="4"/>
      <c r="BB244" t="s">
        <v>306</v>
      </c>
      <c r="BG244">
        <v>1</v>
      </c>
      <c r="BH244" t="s">
        <v>534</v>
      </c>
    </row>
    <row r="245" spans="1:67" ht="12.95" customHeight="1">
      <c r="A245" s="19"/>
      <c r="B245" s="4"/>
      <c r="C245" s="4"/>
      <c r="D245" s="4" t="s">
        <v>580</v>
      </c>
      <c r="E245" s="4"/>
      <c r="M245" s="1463" t="s">
        <v>2632</v>
      </c>
      <c r="N245" s="1463"/>
      <c r="O245" s="1463"/>
      <c r="P245" s="1463"/>
      <c r="Q245" s="1463"/>
      <c r="R245" s="1463"/>
      <c r="S245" s="1463"/>
      <c r="T245" s="1463"/>
      <c r="V245" s="33" t="s">
        <v>86</v>
      </c>
      <c r="W245" s="1483"/>
      <c r="X245" s="1483"/>
      <c r="Y245" s="4" t="s">
        <v>583</v>
      </c>
      <c r="AC245" s="1463"/>
      <c r="AD245" s="1463"/>
      <c r="AE245" s="1463"/>
      <c r="AF245" s="3" t="s">
        <v>1179</v>
      </c>
      <c r="AU245" s="4"/>
      <c r="AV245" s="4"/>
      <c r="AW245" s="4"/>
      <c r="AX245" s="4"/>
      <c r="AY245" s="4"/>
      <c r="BB245" s="4" t="s">
        <v>279</v>
      </c>
      <c r="BG245">
        <v>2</v>
      </c>
      <c r="BH245" t="s">
        <v>566</v>
      </c>
      <c r="BO245" s="239" t="str">
        <f>VLOOKUP(BG243,BG244:BH247,2,FALSE)</f>
        <v>Joint Venture</v>
      </c>
    </row>
    <row r="246" spans="1:67" ht="12.95" customHeight="1">
      <c r="A246" s="19"/>
      <c r="B246" s="4"/>
      <c r="C246" s="4"/>
      <c r="D246" s="4" t="s">
        <v>87</v>
      </c>
      <c r="E246" s="4"/>
      <c r="F246" s="4"/>
      <c r="G246" s="4"/>
      <c r="H246" s="4"/>
      <c r="I246" s="4"/>
      <c r="J246" s="4"/>
      <c r="K246" s="4"/>
      <c r="L246" s="19"/>
      <c r="M246" s="1463" t="s">
        <v>2612</v>
      </c>
      <c r="N246" s="1463"/>
      <c r="O246" s="1463"/>
      <c r="P246" s="1463"/>
      <c r="Q246" s="1463"/>
      <c r="R246" s="1463"/>
      <c r="S246" s="1463"/>
      <c r="T246" s="1463"/>
      <c r="U246" s="1463"/>
      <c r="V246" s="1463"/>
      <c r="W246" s="1463"/>
      <c r="X246" s="1463"/>
      <c r="Y246" s="1463"/>
      <c r="Z246" s="1463"/>
      <c r="AA246" s="1463"/>
      <c r="AB246" s="1463"/>
      <c r="AC246" s="1463"/>
      <c r="AD246" s="1463"/>
      <c r="AE246" s="1463"/>
      <c r="AH246" s="1774">
        <v>5.0000000000000001E-3</v>
      </c>
      <c r="AI246" s="1774"/>
      <c r="AJ246" s="1774"/>
      <c r="AK246" s="1774"/>
      <c r="AL246" s="4"/>
      <c r="AM246" s="4"/>
      <c r="AN246" s="4"/>
      <c r="AO246" s="4"/>
      <c r="AP246" s="4"/>
      <c r="AQ246" s="4"/>
      <c r="AR246" s="4"/>
      <c r="AS246" s="4"/>
      <c r="AT246" s="4"/>
      <c r="BB246" s="4" t="s">
        <v>172</v>
      </c>
      <c r="BG246">
        <v>3</v>
      </c>
      <c r="BH246" t="s">
        <v>536</v>
      </c>
      <c r="BN246" s="34"/>
    </row>
    <row r="247" spans="1:67" ht="12.95" customHeight="1">
      <c r="A247" s="19"/>
      <c r="B247" s="4"/>
      <c r="C247" s="4"/>
      <c r="D247" s="4" t="s">
        <v>88</v>
      </c>
      <c r="E247" s="4"/>
      <c r="F247" s="4"/>
      <c r="M247" s="1505" t="s">
        <v>2629</v>
      </c>
      <c r="N247" s="1505"/>
      <c r="O247" s="1505"/>
      <c r="P247" s="1505"/>
      <c r="Q247" s="1505"/>
      <c r="R247" s="1505"/>
      <c r="S247" s="4" t="s">
        <v>205</v>
      </c>
      <c r="T247" s="4"/>
      <c r="U247" s="1483"/>
      <c r="V247" s="1483"/>
      <c r="W247" s="1483"/>
      <c r="X247" s="4" t="s">
        <v>89</v>
      </c>
      <c r="Z247" s="1505"/>
      <c r="AA247" s="1505"/>
      <c r="AB247" s="1505"/>
      <c r="AC247" s="1505"/>
      <c r="AD247" s="1505"/>
      <c r="AE247" s="1505"/>
      <c r="AU247" s="4"/>
      <c r="AV247" s="4"/>
      <c r="AW247" s="4"/>
      <c r="AX247" s="4"/>
      <c r="AY247" s="4"/>
      <c r="BG247">
        <v>0</v>
      </c>
      <c r="BH247" s="3" t="str">
        <f>""</f>
        <v/>
      </c>
      <c r="BN247" s="34"/>
    </row>
    <row r="248" spans="1:67" ht="12.95" customHeight="1">
      <c r="A248" s="19"/>
      <c r="B248" s="4"/>
      <c r="C248" s="4"/>
      <c r="D248" s="4" t="s">
        <v>90</v>
      </c>
      <c r="E248" s="4"/>
      <c r="F248" s="4"/>
      <c r="M248" s="1780" t="s">
        <v>2630</v>
      </c>
      <c r="N248" s="1780"/>
      <c r="O248" s="1780"/>
      <c r="P248" s="1780"/>
      <c r="Q248" s="1780"/>
      <c r="R248" s="1780"/>
      <c r="S248" s="1780"/>
      <c r="T248" s="1780"/>
      <c r="U248" s="1780"/>
      <c r="V248" s="1780"/>
      <c r="W248" s="1780"/>
      <c r="X248" s="1780"/>
      <c r="Y248" s="1780"/>
      <c r="Z248" s="1780"/>
      <c r="AA248" s="1780"/>
      <c r="AB248" s="1780"/>
      <c r="AC248" s="1780"/>
      <c r="AD248" s="1780"/>
      <c r="AE248" s="1780"/>
      <c r="AG248" s="4"/>
      <c r="AH248" s="4"/>
      <c r="AI248" s="4"/>
      <c r="AJ248" s="4"/>
      <c r="AK248" s="4"/>
      <c r="AL248" s="4"/>
      <c r="AM248" s="4"/>
      <c r="AN248" s="4"/>
      <c r="AO248" s="4"/>
      <c r="AP248" s="4"/>
      <c r="AQ248" s="4"/>
      <c r="AR248" s="4"/>
      <c r="AS248" s="4"/>
      <c r="AT248" s="4"/>
      <c r="BN248" s="34"/>
    </row>
    <row r="249" spans="1:67" ht="12.95" customHeight="1">
      <c r="A249" s="13"/>
      <c r="B249" s="4"/>
      <c r="C249" s="56"/>
      <c r="D249" s="4" t="s">
        <v>535</v>
      </c>
      <c r="E249" s="4"/>
      <c r="F249" s="4"/>
      <c r="G249" s="4"/>
      <c r="H249" s="4"/>
      <c r="I249" s="4"/>
      <c r="J249" s="4"/>
      <c r="K249" s="4"/>
      <c r="L249" s="4"/>
      <c r="M249" s="1397" t="s">
        <v>536</v>
      </c>
      <c r="N249" s="1397"/>
      <c r="O249" s="1397"/>
      <c r="P249" s="1397"/>
      <c r="Q249" s="1397"/>
      <c r="R249" s="1397"/>
      <c r="S249" s="1397"/>
      <c r="T249" s="1397"/>
      <c r="U249" s="204" t="s">
        <v>906</v>
      </c>
      <c r="V249" s="204"/>
      <c r="W249" s="204"/>
      <c r="X249" s="204"/>
      <c r="Y249" s="204"/>
      <c r="Z249" s="204"/>
      <c r="AA249" s="1772" t="s">
        <v>2633</v>
      </c>
      <c r="AB249" s="1772"/>
      <c r="AC249" s="1772"/>
      <c r="AD249" s="1772"/>
      <c r="AE249" s="1772"/>
      <c r="AF249" s="1772"/>
      <c r="AG249" s="1772"/>
      <c r="AH249" s="1772"/>
      <c r="AI249" s="1772"/>
      <c r="AJ249" s="1772"/>
      <c r="AK249" s="1772"/>
      <c r="BN249" s="34"/>
    </row>
    <row r="250" spans="1:67" ht="12.95" customHeight="1">
      <c r="A250" s="19"/>
      <c r="B250" s="4"/>
      <c r="C250" s="4"/>
      <c r="D250" s="4"/>
      <c r="E250" s="4"/>
      <c r="F250" s="4"/>
      <c r="G250" s="4"/>
      <c r="H250" s="4"/>
      <c r="I250" s="4"/>
      <c r="J250" s="4"/>
      <c r="K250" s="4"/>
      <c r="L250" s="4"/>
      <c r="AG250" s="4"/>
      <c r="AH250" s="4"/>
      <c r="AI250" s="4"/>
      <c r="AJ250" s="4"/>
      <c r="BN250" s="34"/>
    </row>
    <row r="251" spans="1:67" ht="12.95" customHeight="1">
      <c r="A251" s="2"/>
      <c r="B251" s="4"/>
      <c r="C251" s="56" t="s">
        <v>98</v>
      </c>
      <c r="D251" s="4" t="s">
        <v>955</v>
      </c>
      <c r="E251" s="4"/>
      <c r="F251" s="4"/>
      <c r="G251" s="4"/>
      <c r="H251" s="4"/>
      <c r="I251" s="4"/>
      <c r="J251" s="4"/>
      <c r="K251" s="4"/>
      <c r="L251" s="4"/>
      <c r="M251" s="1466" t="s">
        <v>2634</v>
      </c>
      <c r="N251" s="1466"/>
      <c r="O251" s="1466"/>
      <c r="P251" s="1466"/>
      <c r="Q251" s="1466"/>
      <c r="R251" s="1466"/>
      <c r="S251" s="1466"/>
      <c r="T251" s="1466"/>
      <c r="U251" s="1466"/>
      <c r="V251" s="1466"/>
      <c r="W251" s="1466"/>
      <c r="X251" s="1466"/>
      <c r="Y251" s="1466"/>
      <c r="Z251" s="1466"/>
      <c r="AA251" s="1466"/>
      <c r="AB251" s="1466"/>
      <c r="AC251" s="1466"/>
      <c r="AD251" s="1466"/>
      <c r="AE251" s="1466"/>
      <c r="AF251" s="1466" t="s">
        <v>2635</v>
      </c>
      <c r="AG251" s="1466"/>
      <c r="AH251" s="1466"/>
      <c r="AI251" s="1466"/>
      <c r="AJ251" s="1466"/>
      <c r="AK251" s="1466"/>
      <c r="AU251" s="4"/>
      <c r="AV251" s="4"/>
      <c r="AW251" s="4"/>
      <c r="AX251" s="4"/>
      <c r="AY251" s="4"/>
      <c r="BN251" s="34"/>
    </row>
    <row r="252" spans="1:67" ht="12.95" customHeight="1">
      <c r="A252" s="19"/>
      <c r="B252" s="4"/>
      <c r="C252" s="4"/>
      <c r="D252" s="4" t="s">
        <v>85</v>
      </c>
      <c r="E252" s="4"/>
      <c r="F252" s="4"/>
      <c r="G252" s="4"/>
      <c r="H252" s="4"/>
      <c r="I252" s="4"/>
      <c r="J252" s="4"/>
      <c r="K252" s="4"/>
      <c r="L252" s="4"/>
      <c r="M252" s="1463" t="s">
        <v>2636</v>
      </c>
      <c r="N252" s="1463"/>
      <c r="O252" s="1463"/>
      <c r="P252" s="1463"/>
      <c r="Q252" s="1463"/>
      <c r="R252" s="1463"/>
      <c r="S252" s="1463"/>
      <c r="T252" s="1463"/>
      <c r="U252" s="1463"/>
      <c r="V252" s="1463"/>
      <c r="W252" s="1463"/>
      <c r="X252" s="1463"/>
      <c r="Y252" s="1463"/>
      <c r="Z252" s="1463"/>
      <c r="AA252" s="1463"/>
      <c r="AB252" s="1463"/>
      <c r="AC252" s="1463"/>
      <c r="AD252" s="1463"/>
      <c r="AE252" s="1463"/>
      <c r="AF252" s="3" t="s">
        <v>1178</v>
      </c>
      <c r="AL252" s="4"/>
      <c r="AM252" s="4"/>
      <c r="AN252" s="4"/>
      <c r="AO252" s="4"/>
      <c r="AP252" s="4"/>
      <c r="AQ252" s="4"/>
      <c r="AR252" s="4"/>
      <c r="AS252" s="4"/>
      <c r="AT252" s="4"/>
      <c r="BN252" s="34"/>
    </row>
    <row r="253" spans="1:67" ht="12.95" customHeight="1">
      <c r="A253" s="19"/>
      <c r="B253" s="4"/>
      <c r="C253" s="4"/>
      <c r="D253" s="4" t="s">
        <v>580</v>
      </c>
      <c r="E253" s="4"/>
      <c r="M253" s="1463" t="s">
        <v>729</v>
      </c>
      <c r="N253" s="1463"/>
      <c r="O253" s="1463"/>
      <c r="P253" s="1463"/>
      <c r="Q253" s="1463"/>
      <c r="R253" s="1463"/>
      <c r="S253" s="1463"/>
      <c r="T253" s="1463"/>
      <c r="V253" s="33" t="s">
        <v>86</v>
      </c>
      <c r="W253" s="1582" t="s">
        <v>2628</v>
      </c>
      <c r="X253" s="1483"/>
      <c r="Y253" s="4" t="s">
        <v>583</v>
      </c>
      <c r="AC253" s="1463">
        <v>92127</v>
      </c>
      <c r="AD253" s="1463"/>
      <c r="AE253" s="1463"/>
      <c r="AF253" s="3" t="s">
        <v>1179</v>
      </c>
      <c r="AU253" s="4"/>
      <c r="AV253" s="4"/>
      <c r="AW253" s="4"/>
      <c r="AX253" s="4"/>
      <c r="AY253" s="4"/>
      <c r="BN253" s="34"/>
    </row>
    <row r="254" spans="1:67" ht="12.95" customHeight="1">
      <c r="A254" s="19"/>
      <c r="B254" s="4"/>
      <c r="C254" s="4"/>
      <c r="D254" s="4" t="s">
        <v>87</v>
      </c>
      <c r="E254" s="4"/>
      <c r="F254" s="4"/>
      <c r="G254" s="4"/>
      <c r="H254" s="4"/>
      <c r="I254" s="4"/>
      <c r="J254" s="4"/>
      <c r="K254" s="4"/>
      <c r="L254" s="19"/>
      <c r="M254" s="1463" t="s">
        <v>2637</v>
      </c>
      <c r="N254" s="1463"/>
      <c r="O254" s="1463"/>
      <c r="P254" s="1463"/>
      <c r="Q254" s="1463"/>
      <c r="R254" s="1463"/>
      <c r="S254" s="1463"/>
      <c r="T254" s="1463"/>
      <c r="U254" s="1463"/>
      <c r="V254" s="1463"/>
      <c r="W254" s="1463"/>
      <c r="X254" s="1463"/>
      <c r="Y254" s="1463"/>
      <c r="Z254" s="1463"/>
      <c r="AA254" s="1463"/>
      <c r="AB254" s="1463"/>
      <c r="AC254" s="1463"/>
      <c r="AD254" s="1463"/>
      <c r="AE254" s="1463"/>
      <c r="AH254" s="1774">
        <v>5.0000000000000001E-3</v>
      </c>
      <c r="AI254" s="1774"/>
      <c r="AJ254" s="1774"/>
      <c r="AK254" s="1774"/>
      <c r="AL254" s="4"/>
      <c r="AM254" s="4"/>
      <c r="AN254" s="4"/>
      <c r="AO254" s="4"/>
      <c r="AP254" s="4"/>
      <c r="AQ254" s="4"/>
      <c r="AR254" s="4"/>
      <c r="AS254" s="4"/>
      <c r="AT254" s="4"/>
    </row>
    <row r="255" spans="1:67" ht="12.95" customHeight="1">
      <c r="A255" s="19"/>
      <c r="B255" s="4"/>
      <c r="C255" s="4"/>
      <c r="D255" s="4" t="s">
        <v>88</v>
      </c>
      <c r="E255" s="4"/>
      <c r="F255" s="4"/>
      <c r="M255" s="1505" t="s">
        <v>2638</v>
      </c>
      <c r="N255" s="1505"/>
      <c r="O255" s="1505"/>
      <c r="P255" s="1505"/>
      <c r="Q255" s="1505"/>
      <c r="R255" s="1505"/>
      <c r="S255" s="4" t="s">
        <v>205</v>
      </c>
      <c r="T255" s="4"/>
      <c r="U255" s="1483"/>
      <c r="V255" s="1483"/>
      <c r="W255" s="1483"/>
      <c r="X255" s="4" t="s">
        <v>89</v>
      </c>
      <c r="Z255" s="1505"/>
      <c r="AA255" s="1505"/>
      <c r="AB255" s="1505"/>
      <c r="AC255" s="1505"/>
      <c r="AD255" s="1505"/>
      <c r="AE255" s="1505"/>
      <c r="AU255" s="4"/>
      <c r="AV255" s="4"/>
      <c r="AW255" s="4"/>
      <c r="AX255" s="4"/>
      <c r="AY255" s="4"/>
      <c r="BN255" s="34"/>
    </row>
    <row r="256" spans="1:67" ht="12.95" customHeight="1">
      <c r="A256" s="19"/>
      <c r="B256" s="4"/>
      <c r="C256" s="4"/>
      <c r="D256" s="4" t="s">
        <v>90</v>
      </c>
      <c r="E256" s="4"/>
      <c r="F256" s="4"/>
      <c r="M256" s="1780" t="s">
        <v>2639</v>
      </c>
      <c r="N256" s="1780"/>
      <c r="O256" s="1780"/>
      <c r="P256" s="1780"/>
      <c r="Q256" s="1780"/>
      <c r="R256" s="1780"/>
      <c r="S256" s="1780"/>
      <c r="T256" s="1780"/>
      <c r="U256" s="1780"/>
      <c r="V256" s="1780"/>
      <c r="W256" s="1780"/>
      <c r="X256" s="1780"/>
      <c r="Y256" s="1780"/>
      <c r="Z256" s="1780"/>
      <c r="AA256" s="1780"/>
      <c r="AB256" s="1780"/>
      <c r="AC256" s="1780"/>
      <c r="AD256" s="1780"/>
      <c r="AE256" s="1780"/>
      <c r="AG256" s="4"/>
      <c r="AH256" s="4"/>
      <c r="AI256" s="4"/>
      <c r="AJ256" s="4"/>
      <c r="AK256" s="4"/>
      <c r="AL256" s="4"/>
      <c r="AM256" s="4"/>
      <c r="AN256" s="4"/>
      <c r="AO256" s="4"/>
      <c r="AP256" s="4"/>
      <c r="AQ256" s="4"/>
      <c r="AR256" s="4"/>
      <c r="AS256" s="4"/>
      <c r="AT256" s="4"/>
      <c r="AU256" s="3"/>
      <c r="AV256" s="3"/>
      <c r="AW256" s="3"/>
      <c r="AX256" s="3"/>
      <c r="AY256" s="3"/>
      <c r="BN256" s="34"/>
    </row>
    <row r="257" spans="1:51" ht="12.95" customHeight="1">
      <c r="A257" s="13"/>
      <c r="B257" s="4"/>
      <c r="C257" s="56"/>
      <c r="D257" s="4" t="s">
        <v>535</v>
      </c>
      <c r="E257" s="4"/>
      <c r="F257" s="4"/>
      <c r="G257" s="4"/>
      <c r="H257" s="4"/>
      <c r="I257" s="4"/>
      <c r="J257" s="4"/>
      <c r="K257" s="4"/>
      <c r="L257" s="4"/>
      <c r="M257" s="1397" t="s">
        <v>534</v>
      </c>
      <c r="N257" s="1397"/>
      <c r="O257" s="1397"/>
      <c r="P257" s="1397"/>
      <c r="Q257" s="1397"/>
      <c r="R257" s="1397"/>
      <c r="S257" s="1397"/>
      <c r="T257" s="1397"/>
      <c r="U257" s="204" t="s">
        <v>906</v>
      </c>
      <c r="V257" s="204"/>
      <c r="W257" s="204"/>
      <c r="X257" s="204"/>
      <c r="Y257" s="204"/>
      <c r="Z257" s="204"/>
      <c r="AA257" s="1772" t="s">
        <v>2634</v>
      </c>
      <c r="AB257" s="1772"/>
      <c r="AC257" s="1772"/>
      <c r="AD257" s="1772"/>
      <c r="AE257" s="1772"/>
      <c r="AF257" s="1772"/>
      <c r="AG257" s="1772"/>
      <c r="AH257" s="1772"/>
      <c r="AI257" s="1772"/>
      <c r="AJ257" s="1772"/>
      <c r="AK257" s="1772"/>
      <c r="AL257" s="3"/>
      <c r="AM257" s="3"/>
      <c r="AN257" s="3"/>
      <c r="AO257" s="3"/>
      <c r="AP257" s="3"/>
      <c r="AQ257" s="3"/>
      <c r="AR257" s="3"/>
      <c r="AS257" s="3"/>
      <c r="AT257" s="3"/>
      <c r="AU257" s="3"/>
      <c r="AV257" s="3"/>
      <c r="AW257" s="3"/>
      <c r="AX257" s="3"/>
      <c r="AY257" s="3"/>
    </row>
    <row r="258" spans="1:51"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2.95" customHeight="1">
      <c r="A259" s="13"/>
      <c r="B259" s="4"/>
      <c r="C259" s="56" t="s">
        <v>876</v>
      </c>
      <c r="D259" s="4" t="s">
        <v>532</v>
      </c>
      <c r="E259" s="4"/>
      <c r="F259" s="4"/>
      <c r="G259" s="4"/>
      <c r="H259" s="4"/>
      <c r="I259" s="4"/>
      <c r="J259" s="4"/>
      <c r="K259" s="4"/>
      <c r="L259" s="4"/>
      <c r="M259" s="1466"/>
      <c r="N259" s="1466"/>
      <c r="O259" s="1466"/>
      <c r="P259" s="1466"/>
      <c r="Q259" s="1466"/>
      <c r="R259" s="1466"/>
      <c r="S259" s="1466"/>
      <c r="T259" s="1466"/>
      <c r="U259" s="1466"/>
      <c r="V259" s="1466"/>
      <c r="W259" s="1466"/>
      <c r="X259" s="1466"/>
      <c r="Y259" s="1466"/>
      <c r="Z259" s="1466"/>
      <c r="AA259" s="1466"/>
      <c r="AB259" s="1466"/>
      <c r="AC259" s="1466"/>
      <c r="AD259" s="1466"/>
      <c r="AE259" s="1466"/>
      <c r="AF259" s="1466" t="s">
        <v>306</v>
      </c>
      <c r="AG259" s="1466"/>
      <c r="AH259" s="1466"/>
      <c r="AI259" s="1466"/>
      <c r="AJ259" s="1466"/>
      <c r="AK259" s="1466"/>
      <c r="AL259" s="3"/>
      <c r="AM259" s="3"/>
      <c r="AN259" s="3"/>
      <c r="AO259" s="3"/>
      <c r="AP259" s="3"/>
      <c r="AQ259" s="3"/>
      <c r="AR259" s="3"/>
      <c r="AS259" s="3"/>
      <c r="AT259" s="3"/>
      <c r="AU259" s="3"/>
      <c r="AV259" s="3"/>
      <c r="AW259" s="3"/>
      <c r="AX259" s="3"/>
      <c r="AY259" s="3"/>
    </row>
    <row r="260" spans="1:51" ht="12.95" customHeight="1">
      <c r="A260" s="13"/>
      <c r="B260" s="4"/>
      <c r="C260" s="4"/>
      <c r="D260" s="4" t="s">
        <v>85</v>
      </c>
      <c r="E260" s="4"/>
      <c r="F260" s="4"/>
      <c r="G260" s="4"/>
      <c r="H260" s="4"/>
      <c r="I260" s="4"/>
      <c r="J260" s="4"/>
      <c r="K260" s="4"/>
      <c r="L260" s="4"/>
      <c r="M260" s="1463"/>
      <c r="N260" s="1463"/>
      <c r="O260" s="1463"/>
      <c r="P260" s="1463"/>
      <c r="Q260" s="1463"/>
      <c r="R260" s="1463"/>
      <c r="S260" s="1463"/>
      <c r="T260" s="1463"/>
      <c r="U260" s="1463"/>
      <c r="V260" s="1463"/>
      <c r="W260" s="1463"/>
      <c r="X260" s="1463"/>
      <c r="Y260" s="1463"/>
      <c r="Z260" s="1463"/>
      <c r="AA260" s="1463"/>
      <c r="AB260" s="1463"/>
      <c r="AC260" s="1463"/>
      <c r="AD260" s="1463"/>
      <c r="AE260" s="1463"/>
      <c r="AF260" s="3" t="s">
        <v>1178</v>
      </c>
      <c r="AL260" s="3"/>
      <c r="AM260" s="3"/>
      <c r="AN260" s="3"/>
      <c r="AO260" s="3"/>
      <c r="AP260" s="3"/>
      <c r="AQ260" s="3"/>
      <c r="AR260" s="3"/>
      <c r="AS260" s="3"/>
      <c r="AT260" s="3"/>
      <c r="AU260" s="3"/>
      <c r="AV260" s="3"/>
      <c r="AW260" s="3"/>
      <c r="AX260" s="3"/>
      <c r="AY260" s="3"/>
    </row>
    <row r="261" spans="1:51" ht="12.95" customHeight="1">
      <c r="A261" s="13"/>
      <c r="B261" s="4"/>
      <c r="C261" s="4"/>
      <c r="D261" s="4" t="s">
        <v>580</v>
      </c>
      <c r="E261" s="4"/>
      <c r="M261" s="1463"/>
      <c r="N261" s="1463"/>
      <c r="O261" s="1463"/>
      <c r="P261" s="1463"/>
      <c r="Q261" s="1463"/>
      <c r="R261" s="1463"/>
      <c r="S261" s="1463"/>
      <c r="T261" s="1463"/>
      <c r="V261" s="33" t="s">
        <v>86</v>
      </c>
      <c r="W261" s="1483"/>
      <c r="X261" s="1483"/>
      <c r="Y261" s="4" t="s">
        <v>583</v>
      </c>
      <c r="AC261" s="1463"/>
      <c r="AD261" s="1463"/>
      <c r="AE261" s="1463"/>
      <c r="AF261" s="3" t="s">
        <v>1179</v>
      </c>
      <c r="AL261" s="3"/>
      <c r="AM261" s="3"/>
      <c r="AN261" s="3"/>
      <c r="AO261" s="3"/>
      <c r="AP261" s="3"/>
      <c r="AQ261" s="3"/>
      <c r="AR261" s="3"/>
      <c r="AS261" s="3"/>
      <c r="AT261" s="3"/>
      <c r="AU261" s="3"/>
      <c r="AV261" s="3"/>
      <c r="AW261" s="3"/>
      <c r="AX261" s="3"/>
      <c r="AY261" s="3"/>
    </row>
    <row r="262" spans="1:51" ht="12.95" customHeight="1">
      <c r="A262" s="13"/>
      <c r="B262" s="4"/>
      <c r="C262" s="4"/>
      <c r="D262" s="4" t="s">
        <v>87</v>
      </c>
      <c r="E262" s="4"/>
      <c r="F262" s="4"/>
      <c r="G262" s="4"/>
      <c r="H262" s="4"/>
      <c r="I262" s="4"/>
      <c r="J262" s="4"/>
      <c r="K262" s="4"/>
      <c r="L262" s="19"/>
      <c r="M262" s="1463"/>
      <c r="N262" s="1463"/>
      <c r="O262" s="1463"/>
      <c r="P262" s="1463"/>
      <c r="Q262" s="1463"/>
      <c r="R262" s="1463"/>
      <c r="S262" s="1463"/>
      <c r="T262" s="1463"/>
      <c r="U262" s="1463"/>
      <c r="V262" s="1463"/>
      <c r="W262" s="1463"/>
      <c r="X262" s="1463"/>
      <c r="Y262" s="1463"/>
      <c r="Z262" s="1463"/>
      <c r="AA262" s="1463"/>
      <c r="AB262" s="1463"/>
      <c r="AC262" s="1463"/>
      <c r="AD262" s="1463"/>
      <c r="AE262" s="1463"/>
      <c r="AH262" s="1774"/>
      <c r="AI262" s="1774"/>
      <c r="AJ262" s="1774"/>
      <c r="AK262" s="1774"/>
      <c r="AL262" s="3"/>
      <c r="AM262" s="3"/>
      <c r="AN262" s="3"/>
      <c r="AO262" s="3"/>
      <c r="AP262" s="3"/>
      <c r="AQ262" s="3"/>
      <c r="AR262" s="3"/>
      <c r="AS262" s="3"/>
      <c r="AT262" s="3"/>
      <c r="AU262" s="3"/>
      <c r="AV262" s="3"/>
      <c r="AW262" s="3"/>
      <c r="AX262" s="3"/>
      <c r="AY262" s="3"/>
    </row>
    <row r="263" spans="1:51" ht="12.95" customHeight="1">
      <c r="A263" s="13"/>
      <c r="B263" s="4"/>
      <c r="C263" s="4"/>
      <c r="D263" s="4" t="s">
        <v>88</v>
      </c>
      <c r="E263" s="4"/>
      <c r="F263" s="4"/>
      <c r="M263" s="1505"/>
      <c r="N263" s="1505"/>
      <c r="O263" s="1505"/>
      <c r="P263" s="1505"/>
      <c r="Q263" s="1505"/>
      <c r="R263" s="1505"/>
      <c r="S263" s="4" t="s">
        <v>205</v>
      </c>
      <c r="T263" s="4"/>
      <c r="U263" s="1483"/>
      <c r="V263" s="1483"/>
      <c r="W263" s="1483"/>
      <c r="X263" s="4" t="s">
        <v>89</v>
      </c>
      <c r="Z263" s="1505"/>
      <c r="AA263" s="1505"/>
      <c r="AB263" s="1505"/>
      <c r="AC263" s="1505"/>
      <c r="AD263" s="1505"/>
      <c r="AE263" s="1505"/>
      <c r="AL263" s="3"/>
      <c r="AM263" s="3"/>
      <c r="AN263" s="3"/>
      <c r="AO263" s="3"/>
      <c r="AP263" s="3"/>
      <c r="AQ263" s="3"/>
      <c r="AR263" s="3"/>
      <c r="AS263" s="3"/>
      <c r="AT263" s="3"/>
      <c r="AU263" s="3"/>
      <c r="AV263" s="3"/>
      <c r="AW263" s="3"/>
      <c r="AX263" s="3"/>
      <c r="AY263" s="3"/>
    </row>
    <row r="264" spans="1:51" ht="12.95" customHeight="1">
      <c r="A264" s="13"/>
      <c r="B264" s="4"/>
      <c r="C264" s="4"/>
      <c r="D264" s="4" t="s">
        <v>90</v>
      </c>
      <c r="E264" s="4"/>
      <c r="F264" s="4"/>
      <c r="M264" s="1780"/>
      <c r="N264" s="1780"/>
      <c r="O264" s="1780"/>
      <c r="P264" s="1780"/>
      <c r="Q264" s="1780"/>
      <c r="R264" s="1780"/>
      <c r="S264" s="1780"/>
      <c r="T264" s="1780"/>
      <c r="U264" s="1780"/>
      <c r="V264" s="1780"/>
      <c r="W264" s="1780"/>
      <c r="X264" s="1780"/>
      <c r="Y264" s="1780"/>
      <c r="Z264" s="1780"/>
      <c r="AA264" s="1805"/>
      <c r="AB264" s="1805"/>
      <c r="AC264" s="1805"/>
      <c r="AD264" s="1805"/>
      <c r="AE264" s="1805"/>
      <c r="AG264" s="4"/>
      <c r="AH264" s="4"/>
      <c r="AI264" s="4"/>
      <c r="AJ264" s="4"/>
      <c r="AK264" s="4"/>
      <c r="AL264" s="3"/>
      <c r="AM264" s="3"/>
      <c r="AN264" s="3"/>
      <c r="AO264" s="3"/>
      <c r="AP264" s="3"/>
      <c r="AQ264" s="3"/>
      <c r="AR264" s="3"/>
      <c r="AS264" s="3"/>
      <c r="AT264" s="3"/>
      <c r="AU264" s="3"/>
      <c r="AV264" s="3"/>
      <c r="AW264" s="3"/>
      <c r="AX264" s="3"/>
      <c r="AY264" s="3"/>
    </row>
    <row r="265" spans="1:51" ht="12.95" customHeight="1">
      <c r="A265" s="13"/>
      <c r="B265" s="4"/>
      <c r="C265" s="56"/>
      <c r="D265" s="4" t="s">
        <v>535</v>
      </c>
      <c r="E265" s="4"/>
      <c r="F265" s="4"/>
      <c r="G265" s="4"/>
      <c r="H265" s="4"/>
      <c r="I265" s="4"/>
      <c r="J265" s="4"/>
      <c r="K265" s="4"/>
      <c r="L265" s="4"/>
      <c r="M265" s="1397" t="s">
        <v>306</v>
      </c>
      <c r="N265" s="1397"/>
      <c r="O265" s="1397"/>
      <c r="P265" s="1397"/>
      <c r="Q265" s="1397"/>
      <c r="R265" s="1397"/>
      <c r="S265" s="1397"/>
      <c r="T265" s="1397"/>
      <c r="U265" s="204" t="s">
        <v>906</v>
      </c>
      <c r="V265" s="204"/>
      <c r="W265" s="204"/>
      <c r="X265" s="204"/>
      <c r="Y265" s="204"/>
      <c r="Z265" s="204"/>
      <c r="AA265" s="1773"/>
      <c r="AB265" s="1773"/>
      <c r="AC265" s="1773"/>
      <c r="AD265" s="1773"/>
      <c r="AE265" s="1773"/>
      <c r="AF265" s="1773"/>
      <c r="AG265" s="1773"/>
      <c r="AH265" s="1773"/>
      <c r="AI265" s="1773"/>
      <c r="AJ265" s="1773"/>
      <c r="AK265" s="1773"/>
      <c r="AL265" s="3"/>
      <c r="AM265" s="3"/>
      <c r="AN265" s="3"/>
      <c r="AO265" s="3"/>
      <c r="AP265" s="3"/>
      <c r="AQ265" s="3"/>
      <c r="AR265" s="3"/>
      <c r="AS265" s="3"/>
      <c r="AT265" s="3"/>
    </row>
    <row r="266" spans="1:51"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2.95" customHeight="1">
      <c r="A267" s="57" t="s">
        <v>590</v>
      </c>
      <c r="B267" s="4"/>
      <c r="C267" s="2" t="s">
        <v>294</v>
      </c>
      <c r="D267" s="4"/>
      <c r="E267" s="4"/>
      <c r="F267" s="4"/>
      <c r="G267" s="4"/>
      <c r="H267" s="4"/>
      <c r="I267" s="4"/>
      <c r="J267" s="4"/>
      <c r="K267" s="4"/>
      <c r="L267" s="4"/>
      <c r="M267" s="35"/>
      <c r="N267" s="35"/>
      <c r="O267" s="35"/>
      <c r="P267" s="35"/>
      <c r="Q267" s="35"/>
      <c r="T267" s="1775" t="str">
        <f>IFERROR(BO245,"")</f>
        <v>Joint Venture</v>
      </c>
      <c r="U267" s="1775"/>
      <c r="V267" s="1775"/>
      <c r="W267" s="1775"/>
      <c r="X267" s="1775"/>
      <c r="Z267" s="307" t="s">
        <v>954</v>
      </c>
      <c r="AA267" s="308"/>
      <c r="AB267" s="308"/>
      <c r="AC267" s="308"/>
      <c r="AD267" s="105"/>
      <c r="AE267" s="105"/>
      <c r="AF267" s="105"/>
      <c r="AG267" s="105"/>
      <c r="AH267" s="105"/>
      <c r="AI267" s="105"/>
      <c r="AJ267" s="105"/>
      <c r="AK267" s="309"/>
      <c r="AL267" s="58"/>
    </row>
    <row r="268" spans="1:51" ht="12.95" customHeight="1">
      <c r="A268" s="2"/>
      <c r="B268" s="4"/>
      <c r="C268" s="2"/>
      <c r="I268" s="4"/>
      <c r="J268" s="4"/>
      <c r="K268" s="4"/>
      <c r="L268" s="4"/>
      <c r="M268" s="35"/>
      <c r="N268" s="35"/>
      <c r="O268" s="35"/>
      <c r="P268" s="35"/>
      <c r="Q268" s="35"/>
      <c r="T268" s="4"/>
      <c r="U268" s="4"/>
      <c r="V268" s="4"/>
      <c r="W268" s="35"/>
      <c r="Z268" s="310" t="s">
        <v>807</v>
      </c>
      <c r="AF268" s="4"/>
      <c r="AG268" s="4"/>
      <c r="AH268" s="4"/>
      <c r="AI268" s="4"/>
      <c r="AJ268" s="4"/>
      <c r="AL268" s="65"/>
    </row>
    <row r="269" spans="1:51" ht="12.95" customHeight="1">
      <c r="A269" s="2" t="s">
        <v>592</v>
      </c>
      <c r="B269" s="4"/>
      <c r="C269" s="2" t="s">
        <v>171</v>
      </c>
      <c r="D269" s="4"/>
      <c r="E269" s="4"/>
      <c r="F269" s="4"/>
      <c r="G269" s="4"/>
      <c r="H269" s="4"/>
      <c r="I269" s="4"/>
      <c r="J269" s="4"/>
      <c r="K269" s="4"/>
      <c r="L269" s="4"/>
      <c r="M269" s="4"/>
      <c r="N269" s="4"/>
      <c r="O269" s="4"/>
      <c r="P269" s="4"/>
      <c r="Q269" s="4"/>
      <c r="R269" s="4"/>
      <c r="S269" s="4"/>
      <c r="T269" s="4"/>
      <c r="U269" s="4"/>
      <c r="V269" s="4"/>
      <c r="W269" s="4"/>
      <c r="Z269" s="311" t="s">
        <v>953</v>
      </c>
      <c r="AA269" s="48"/>
      <c r="AB269" s="48"/>
      <c r="AC269" s="48"/>
      <c r="AD269" s="48"/>
      <c r="AE269" s="48"/>
      <c r="AF269" s="104"/>
      <c r="AG269" s="104"/>
      <c r="AH269" s="104"/>
      <c r="AI269" s="104"/>
      <c r="AJ269" s="104"/>
      <c r="AK269" s="48"/>
      <c r="AL269" s="49"/>
    </row>
    <row r="270" spans="1:51" ht="12.95" customHeight="1">
      <c r="A270" s="4"/>
      <c r="B270" s="36">
        <v>0</v>
      </c>
      <c r="D270" s="1463" t="s">
        <v>172</v>
      </c>
      <c r="E270" s="1463"/>
      <c r="F270" s="1463"/>
      <c r="G270" s="1463"/>
      <c r="H270" s="1463"/>
      <c r="J270" t="s">
        <v>278</v>
      </c>
      <c r="X270" s="1674">
        <v>45809</v>
      </c>
      <c r="Y270" s="1674"/>
      <c r="Z270" s="1674"/>
      <c r="AA270" s="1674"/>
      <c r="AB270" s="1674"/>
      <c r="AC270" s="1674"/>
      <c r="AU270" s="3"/>
      <c r="AV270" s="3"/>
      <c r="AW270" s="3"/>
      <c r="AX270" s="3"/>
      <c r="AY270" s="3"/>
    </row>
    <row r="271" spans="1:51" ht="12.95" customHeight="1">
      <c r="A271" s="4"/>
      <c r="B271" s="19"/>
      <c r="D271" s="37" t="s">
        <v>280</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2.95" customHeight="1">
      <c r="A273" s="2" t="s">
        <v>467</v>
      </c>
      <c r="B273" s="2"/>
      <c r="C273" s="2" t="s">
        <v>622</v>
      </c>
      <c r="D273" s="4"/>
      <c r="E273" s="4"/>
      <c r="F273" s="4"/>
      <c r="G273" s="4"/>
      <c r="H273" s="4"/>
      <c r="I273" s="4"/>
      <c r="J273" s="4"/>
      <c r="K273" s="4"/>
      <c r="L273" s="4"/>
      <c r="M273" s="4"/>
      <c r="N273" s="4"/>
      <c r="O273" s="4"/>
      <c r="P273" s="4"/>
      <c r="Q273" s="4"/>
      <c r="R273" s="4"/>
      <c r="S273" s="4"/>
      <c r="T273" s="4"/>
      <c r="AU273" s="3"/>
      <c r="AV273" s="3"/>
      <c r="AW273" s="3"/>
      <c r="AX273" s="3"/>
      <c r="AY273" s="3"/>
    </row>
    <row r="274" spans="1:51" ht="12.95" customHeight="1">
      <c r="D274" s="4" t="s">
        <v>295</v>
      </c>
      <c r="E274" s="4"/>
      <c r="F274" s="4"/>
      <c r="G274" s="4"/>
      <c r="H274" s="4"/>
      <c r="I274" s="4"/>
      <c r="J274" s="4"/>
      <c r="K274" s="4"/>
      <c r="L274" s="1466" t="s">
        <v>2610</v>
      </c>
      <c r="M274" s="1466"/>
      <c r="N274" s="1466"/>
      <c r="O274" s="1466"/>
      <c r="P274" s="1466"/>
      <c r="Q274" s="1466"/>
      <c r="R274" s="1466"/>
      <c r="S274" s="1466"/>
      <c r="T274" s="1466"/>
      <c r="U274" s="1466"/>
      <c r="V274" s="1466"/>
      <c r="W274" s="1466"/>
      <c r="X274" s="1466"/>
      <c r="Y274" s="1466"/>
      <c r="Z274" s="1466"/>
      <c r="AA274" s="1466"/>
      <c r="AB274" s="1466"/>
      <c r="AC274" s="1466"/>
      <c r="AD274" s="1466"/>
      <c r="AE274" s="1466"/>
      <c r="AF274" s="1466"/>
      <c r="AG274" s="1466"/>
      <c r="AH274" s="1466"/>
      <c r="AI274" s="1466"/>
      <c r="AJ274" s="1466"/>
      <c r="AK274" s="3"/>
      <c r="AL274" s="3"/>
      <c r="AM274" s="3"/>
      <c r="AN274" s="3"/>
      <c r="AO274" s="3"/>
      <c r="AP274" s="3"/>
      <c r="AQ274" s="3"/>
      <c r="AR274" s="3"/>
      <c r="AS274" s="3"/>
      <c r="AT274" s="3"/>
      <c r="AU274" s="3"/>
      <c r="AV274" s="3"/>
      <c r="AW274" s="3"/>
      <c r="AX274" s="3"/>
      <c r="AY274" s="3"/>
    </row>
    <row r="275" spans="1:51" ht="12.95" customHeight="1">
      <c r="D275" s="4" t="s">
        <v>85</v>
      </c>
      <c r="E275" s="4"/>
      <c r="F275" s="4"/>
      <c r="G275" s="4"/>
      <c r="H275" s="4"/>
      <c r="I275" s="4"/>
      <c r="J275" s="4"/>
      <c r="K275" s="4"/>
      <c r="L275" s="1463" t="s">
        <v>2641</v>
      </c>
      <c r="M275" s="1463"/>
      <c r="N275" s="1463"/>
      <c r="O275" s="1463"/>
      <c r="P275" s="1463"/>
      <c r="Q275" s="1463"/>
      <c r="R275" s="1463"/>
      <c r="S275" s="1463"/>
      <c r="T275" s="1463"/>
      <c r="U275" s="1463"/>
      <c r="V275" s="1463"/>
      <c r="W275" s="1463"/>
      <c r="X275" s="1463"/>
      <c r="Y275" s="1463"/>
      <c r="Z275" s="1463"/>
      <c r="AA275" s="1463"/>
      <c r="AB275" s="1463"/>
      <c r="AC275" s="1463"/>
      <c r="AD275" s="1463"/>
      <c r="AK275" s="3"/>
      <c r="AL275" s="3"/>
      <c r="AM275" s="3"/>
      <c r="AN275" s="3"/>
      <c r="AO275" s="3"/>
      <c r="AP275" s="3"/>
      <c r="AQ275" s="3"/>
      <c r="AR275" s="3"/>
      <c r="AS275" s="3"/>
      <c r="AT275" s="3"/>
      <c r="AU275" s="3"/>
      <c r="AV275" s="3"/>
      <c r="AW275" s="3"/>
      <c r="AX275" s="3"/>
      <c r="AY275" s="3"/>
    </row>
    <row r="276" spans="1:51" ht="12.95" customHeight="1">
      <c r="D276" s="4" t="s">
        <v>580</v>
      </c>
      <c r="E276" s="4"/>
      <c r="L276" s="1463" t="s">
        <v>494</v>
      </c>
      <c r="M276" s="1463"/>
      <c r="N276" s="1463"/>
      <c r="O276" s="1463"/>
      <c r="P276" s="1463"/>
      <c r="Q276" s="1463"/>
      <c r="R276" s="1463"/>
      <c r="S276" s="1463"/>
      <c r="U276" s="33" t="s">
        <v>86</v>
      </c>
      <c r="V276" s="1483" t="s">
        <v>2628</v>
      </c>
      <c r="W276" s="1483"/>
      <c r="X276" s="4" t="s">
        <v>583</v>
      </c>
      <c r="AB276" s="1463">
        <v>90045</v>
      </c>
      <c r="AC276" s="1463"/>
      <c r="AD276" s="1463"/>
      <c r="AK276" s="3"/>
      <c r="AL276" s="3"/>
      <c r="AM276" s="3"/>
      <c r="AN276" s="3"/>
      <c r="AO276" s="3"/>
      <c r="AP276" s="3"/>
      <c r="AQ276" s="3"/>
      <c r="AR276" s="3"/>
      <c r="AS276" s="3"/>
      <c r="AT276" s="3"/>
      <c r="AU276" s="3"/>
      <c r="AV276" s="3"/>
      <c r="AW276" s="3"/>
      <c r="AX276" s="3"/>
      <c r="AY276" s="3"/>
    </row>
    <row r="277" spans="1:51" ht="12.95" customHeight="1">
      <c r="D277" s="4" t="s">
        <v>87</v>
      </c>
      <c r="E277" s="4"/>
      <c r="F277" s="4"/>
      <c r="G277" s="4"/>
      <c r="H277" s="4"/>
      <c r="I277" s="4"/>
      <c r="J277" s="4"/>
      <c r="K277" s="19"/>
      <c r="L277" s="1462" t="s">
        <v>2643</v>
      </c>
      <c r="M277" s="1463"/>
      <c r="N277" s="1463"/>
      <c r="O277" s="1463"/>
      <c r="P277" s="1463"/>
      <c r="Q277" s="1463"/>
      <c r="R277" s="1463"/>
      <c r="S277" s="1463"/>
      <c r="T277" s="1463"/>
      <c r="U277" s="1463"/>
      <c r="V277" s="1463"/>
      <c r="W277" s="1463"/>
      <c r="X277" s="1463"/>
      <c r="Y277" s="1463"/>
      <c r="Z277" s="1463"/>
      <c r="AA277" s="1463"/>
      <c r="AB277" s="1463"/>
      <c r="AC277" s="1463"/>
      <c r="AD277" s="1463"/>
      <c r="AI277" s="4"/>
      <c r="AJ277" s="4"/>
      <c r="AK277" s="3"/>
      <c r="AL277" s="3"/>
      <c r="AM277" s="3"/>
      <c r="AN277" s="3"/>
      <c r="AO277" s="3"/>
      <c r="AP277" s="3"/>
      <c r="AQ277" s="3"/>
      <c r="AR277" s="3"/>
      <c r="AS277" s="3"/>
      <c r="AT277" s="3"/>
    </row>
    <row r="278" spans="1:51" ht="12.95" customHeight="1">
      <c r="D278" s="4" t="s">
        <v>88</v>
      </c>
      <c r="E278" s="4"/>
      <c r="F278" s="4"/>
      <c r="L278" s="1771" t="s">
        <v>2642</v>
      </c>
      <c r="M278" s="1505"/>
      <c r="N278" s="1505"/>
      <c r="O278" s="1505"/>
      <c r="P278" s="1505"/>
      <c r="Q278" s="1505"/>
      <c r="R278" s="4" t="s">
        <v>205</v>
      </c>
      <c r="S278" s="4"/>
      <c r="T278" s="1483"/>
      <c r="U278" s="1483"/>
      <c r="V278" s="1483"/>
      <c r="W278" s="4" t="s">
        <v>89</v>
      </c>
      <c r="Y278" s="1505"/>
      <c r="Z278" s="1505"/>
      <c r="AA278" s="1505"/>
      <c r="AB278" s="1505"/>
      <c r="AC278" s="1505"/>
      <c r="AD278" s="1505"/>
    </row>
    <row r="279" spans="1:51" ht="12.95" customHeight="1">
      <c r="D279" s="4" t="s">
        <v>90</v>
      </c>
      <c r="E279" s="4"/>
      <c r="F279" s="4"/>
      <c r="L279" s="1780" t="s">
        <v>2644</v>
      </c>
      <c r="M279" s="1780"/>
      <c r="N279" s="1780"/>
      <c r="O279" s="1780"/>
      <c r="P279" s="1780"/>
      <c r="Q279" s="1780"/>
      <c r="R279" s="1780"/>
      <c r="S279" s="1780"/>
      <c r="T279" s="1780"/>
      <c r="U279" s="1780"/>
      <c r="V279" s="1780"/>
      <c r="W279" s="1780"/>
      <c r="X279" s="1780"/>
      <c r="Y279" s="1780"/>
      <c r="Z279" s="1780"/>
      <c r="AA279" s="1780"/>
      <c r="AB279" s="1780"/>
      <c r="AC279" s="1780"/>
      <c r="AD279" s="1780"/>
      <c r="AF279" s="4"/>
      <c r="AG279" s="4"/>
      <c r="AH279" s="4"/>
      <c r="AI279" s="4"/>
      <c r="AJ279" s="4"/>
      <c r="AU279" s="3"/>
      <c r="AV279" s="3"/>
      <c r="AW279" s="3"/>
      <c r="AX279" s="3"/>
      <c r="AY279" s="3"/>
    </row>
    <row r="280" spans="1:51" ht="12.95" customHeight="1">
      <c r="D280" s="3" t="s">
        <v>623</v>
      </c>
      <c r="E280" s="3"/>
      <c r="F280" s="3"/>
      <c r="G280" s="3"/>
      <c r="H280" s="3"/>
      <c r="I280" s="3"/>
      <c r="L280" s="1582" t="s">
        <v>2645</v>
      </c>
      <c r="M280" s="1582"/>
      <c r="N280" s="1582"/>
      <c r="O280" s="1582"/>
      <c r="P280" s="1582"/>
      <c r="Q280" s="1582"/>
      <c r="R280" s="1582"/>
      <c r="S280" s="1582"/>
      <c r="T280" s="1582"/>
      <c r="U280" s="1582"/>
      <c r="V280" s="1582"/>
      <c r="W280" s="1582"/>
      <c r="X280" s="1582"/>
      <c r="Y280" s="1582"/>
      <c r="Z280" s="1582"/>
      <c r="AA280" s="1582"/>
      <c r="AB280" s="1582"/>
      <c r="AC280" s="1582"/>
      <c r="AD280" s="1582"/>
      <c r="AK280" s="3"/>
      <c r="AL280" s="3"/>
      <c r="AM280" s="3"/>
      <c r="AN280" s="3"/>
      <c r="AO280" s="3"/>
      <c r="AP280" s="3"/>
      <c r="AQ280" s="3"/>
      <c r="AR280" s="3"/>
      <c r="AS280" s="3"/>
      <c r="AT280" s="3"/>
    </row>
    <row r="281" spans="1:51" ht="12.95" customHeight="1">
      <c r="L281" s="22" t="s">
        <v>624</v>
      </c>
      <c r="AU281" s="95"/>
      <c r="AV281" s="95"/>
      <c r="AW281" s="95"/>
      <c r="AX281" s="95"/>
      <c r="AY281" s="95"/>
    </row>
    <row r="282" spans="1:51" ht="12.95" customHeight="1">
      <c r="A282" s="1365" t="s">
        <v>541</v>
      </c>
      <c r="B282" s="1365"/>
      <c r="C282" s="1365"/>
      <c r="D282" s="1365"/>
      <c r="E282" s="1365"/>
      <c r="F282" s="1365"/>
      <c r="G282" s="1365"/>
      <c r="H282" s="1365"/>
      <c r="I282" s="1365"/>
      <c r="J282" s="1365"/>
      <c r="K282" s="1365"/>
      <c r="L282" s="1365"/>
      <c r="M282" s="1365"/>
      <c r="N282" s="1365"/>
      <c r="O282" s="1365"/>
      <c r="P282" s="1365"/>
      <c r="Q282" s="1365"/>
      <c r="R282" s="1365"/>
      <c r="S282" s="1365"/>
      <c r="T282" s="1365"/>
      <c r="U282" s="1365"/>
      <c r="V282" s="1365"/>
      <c r="W282" s="1365"/>
      <c r="X282" s="1365"/>
      <c r="Y282" s="1365"/>
      <c r="Z282" s="1365"/>
      <c r="AA282" s="1365"/>
      <c r="AB282" s="1365"/>
      <c r="AC282" s="1365"/>
      <c r="AD282" s="1365"/>
      <c r="AE282" s="1365"/>
      <c r="AF282" s="1365"/>
      <c r="AG282" s="1365"/>
      <c r="AH282" s="1365"/>
      <c r="AI282" s="1365"/>
      <c r="AJ282" s="1365"/>
      <c r="AK282" s="1365"/>
      <c r="AL282" s="1365"/>
      <c r="AM282" s="1365"/>
      <c r="AN282" s="1365"/>
      <c r="AO282" s="1365"/>
      <c r="AP282" s="1365"/>
      <c r="AQ282" s="1365"/>
      <c r="AR282" s="1365"/>
      <c r="AS282" s="1365"/>
      <c r="AT282" s="1365"/>
      <c r="AU282" s="95"/>
      <c r="AV282" s="95"/>
      <c r="AW282" s="95"/>
      <c r="AX282" s="95"/>
      <c r="AY282" s="95"/>
    </row>
    <row r="283" spans="1:51" ht="12.95" customHeight="1">
      <c r="A283" s="1365"/>
      <c r="B283" s="1365"/>
      <c r="C283" s="1365"/>
      <c r="D283" s="1365"/>
      <c r="E283" s="1365"/>
      <c r="F283" s="1365"/>
      <c r="G283" s="1365"/>
      <c r="H283" s="1365"/>
      <c r="I283" s="1365"/>
      <c r="J283" s="1365"/>
      <c r="K283" s="1365"/>
      <c r="L283" s="1365"/>
      <c r="M283" s="1365"/>
      <c r="N283" s="1365"/>
      <c r="O283" s="1365"/>
      <c r="P283" s="1365"/>
      <c r="Q283" s="1365"/>
      <c r="R283" s="1365"/>
      <c r="S283" s="1365"/>
      <c r="T283" s="1365"/>
      <c r="U283" s="1365"/>
      <c r="V283" s="1365"/>
      <c r="W283" s="1365"/>
      <c r="X283" s="1365"/>
      <c r="Y283" s="1365"/>
      <c r="Z283" s="1365"/>
      <c r="AA283" s="1365"/>
      <c r="AB283" s="1365"/>
      <c r="AC283" s="1365"/>
      <c r="AD283" s="1365"/>
      <c r="AE283" s="1365"/>
      <c r="AF283" s="1365"/>
      <c r="AG283" s="1365"/>
      <c r="AH283" s="1365"/>
      <c r="AI283" s="1365"/>
      <c r="AJ283" s="1365"/>
      <c r="AK283" s="1365"/>
      <c r="AL283" s="1365"/>
      <c r="AM283" s="1365"/>
      <c r="AN283" s="1365"/>
      <c r="AO283" s="1365"/>
      <c r="AP283" s="1365"/>
      <c r="AQ283" s="1365"/>
      <c r="AR283" s="1365"/>
      <c r="AS283" s="1365"/>
      <c r="AT283" s="1365"/>
      <c r="AU283" s="25"/>
      <c r="AV283" s="25"/>
      <c r="AW283" s="25"/>
      <c r="AX283" s="25"/>
      <c r="AY283" s="25"/>
    </row>
    <row r="284" spans="1:51"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2.95" customHeight="1">
      <c r="A285" s="2" t="s">
        <v>318</v>
      </c>
      <c r="C285" s="2" t="s">
        <v>625</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5" customHeight="1">
      <c r="B287" s="3" t="s">
        <v>626</v>
      </c>
      <c r="C287" s="3"/>
      <c r="D287" s="3"/>
      <c r="E287" s="3"/>
      <c r="F287" s="3"/>
      <c r="H287" s="1393" t="s">
        <v>2610</v>
      </c>
      <c r="I287" s="1393"/>
      <c r="J287" s="1393"/>
      <c r="K287" s="1393"/>
      <c r="L287" s="1393"/>
      <c r="M287" s="1393"/>
      <c r="N287" s="1393"/>
      <c r="O287" s="1393"/>
      <c r="P287" s="1393"/>
      <c r="Q287" s="1393"/>
      <c r="R287" s="1393"/>
      <c r="T287" s="3" t="s">
        <v>567</v>
      </c>
      <c r="V287" s="3"/>
      <c r="W287" s="3"/>
      <c r="X287" s="3"/>
      <c r="Y287" s="3"/>
      <c r="AA287" s="1462" t="s">
        <v>2718</v>
      </c>
      <c r="AB287" s="1393"/>
      <c r="AC287" s="1393"/>
      <c r="AD287" s="1393"/>
      <c r="AE287" s="1393"/>
      <c r="AF287" s="1393"/>
      <c r="AG287" s="1393"/>
      <c r="AH287" s="1393"/>
      <c r="AI287" s="1393"/>
      <c r="AJ287" s="1393"/>
      <c r="AK287" s="1393"/>
    </row>
    <row r="288" spans="1:51" ht="12.95" customHeight="1">
      <c r="B288" s="3" t="s">
        <v>471</v>
      </c>
      <c r="C288" s="3"/>
      <c r="D288" s="3"/>
      <c r="E288" s="3"/>
      <c r="F288" s="3"/>
      <c r="H288" s="1397" t="s">
        <v>2641</v>
      </c>
      <c r="I288" s="1397"/>
      <c r="J288" s="1397"/>
      <c r="K288" s="1397"/>
      <c r="L288" s="1397"/>
      <c r="M288" s="1397"/>
      <c r="N288" s="1397"/>
      <c r="O288" s="1397"/>
      <c r="P288" s="1397"/>
      <c r="Q288" s="1397"/>
      <c r="R288" s="1397"/>
      <c r="T288" s="3" t="s">
        <v>471</v>
      </c>
      <c r="V288" s="3"/>
      <c r="W288" s="3"/>
      <c r="X288" s="3"/>
      <c r="Y288" s="3"/>
      <c r="AA288" s="1582" t="s">
        <v>2720</v>
      </c>
      <c r="AB288" s="1397"/>
      <c r="AC288" s="1397"/>
      <c r="AD288" s="1397"/>
      <c r="AE288" s="1397"/>
      <c r="AF288" s="1397"/>
      <c r="AG288" s="1397"/>
      <c r="AH288" s="1397"/>
      <c r="AI288" s="1397"/>
      <c r="AJ288" s="1397"/>
      <c r="AK288" s="1397"/>
    </row>
    <row r="289" spans="2:37" ht="12.95" customHeight="1">
      <c r="B289" s="3" t="s">
        <v>472</v>
      </c>
      <c r="C289" s="3"/>
      <c r="D289" s="3"/>
      <c r="E289" s="3"/>
      <c r="F289" s="3"/>
      <c r="H289" s="1397" t="s">
        <v>2646</v>
      </c>
      <c r="I289" s="1397"/>
      <c r="J289" s="1397"/>
      <c r="K289" s="1397"/>
      <c r="L289" s="1397"/>
      <c r="M289" s="1397"/>
      <c r="N289" s="1397"/>
      <c r="O289" s="1397"/>
      <c r="P289" s="1397"/>
      <c r="Q289" s="1397"/>
      <c r="R289" s="1397"/>
      <c r="T289" s="3" t="s">
        <v>75</v>
      </c>
      <c r="V289" s="3"/>
      <c r="W289" s="3"/>
      <c r="X289" s="3"/>
      <c r="Y289" s="3"/>
      <c r="AA289" s="1582" t="s">
        <v>2681</v>
      </c>
      <c r="AB289" s="1397"/>
      <c r="AC289" s="1397"/>
      <c r="AD289" s="1397"/>
      <c r="AE289" s="1397"/>
      <c r="AF289" s="1397"/>
      <c r="AG289" s="1397"/>
      <c r="AH289" s="1397"/>
      <c r="AI289" s="1397"/>
      <c r="AJ289" s="1397"/>
      <c r="AK289" s="1397"/>
    </row>
    <row r="290" spans="2:37" ht="12.95" customHeight="1">
      <c r="B290" s="3" t="s">
        <v>87</v>
      </c>
      <c r="C290" s="3"/>
      <c r="D290" s="3"/>
      <c r="E290" s="3"/>
      <c r="F290" s="3"/>
      <c r="H290" s="1397" t="s">
        <v>2612</v>
      </c>
      <c r="I290" s="1397"/>
      <c r="J290" s="1397"/>
      <c r="K290" s="1397"/>
      <c r="L290" s="1397"/>
      <c r="M290" s="1397"/>
      <c r="N290" s="1397"/>
      <c r="O290" s="1397"/>
      <c r="P290" s="1397"/>
      <c r="Q290" s="1397"/>
      <c r="R290" s="1397"/>
      <c r="T290" s="3" t="s">
        <v>87</v>
      </c>
      <c r="V290" s="3"/>
      <c r="W290" s="3"/>
      <c r="X290" s="3"/>
      <c r="Y290" s="3"/>
      <c r="AA290" s="1582" t="s">
        <v>2719</v>
      </c>
      <c r="AB290" s="1397"/>
      <c r="AC290" s="1397"/>
      <c r="AD290" s="1397"/>
      <c r="AE290" s="1397"/>
      <c r="AF290" s="1397"/>
      <c r="AG290" s="1397"/>
      <c r="AH290" s="1397"/>
      <c r="AI290" s="1397"/>
      <c r="AJ290" s="1397"/>
      <c r="AK290" s="1397"/>
    </row>
    <row r="291" spans="2:37" ht="12.95" customHeight="1">
      <c r="B291" s="3" t="s">
        <v>88</v>
      </c>
      <c r="C291" s="3"/>
      <c r="D291" s="3"/>
      <c r="E291" s="3"/>
      <c r="F291" s="3"/>
      <c r="G291" s="3"/>
      <c r="H291" s="1468" t="s">
        <v>2647</v>
      </c>
      <c r="I291" s="1469"/>
      <c r="J291" s="1469"/>
      <c r="K291" s="1469"/>
      <c r="L291" s="1469"/>
      <c r="M291" s="1469"/>
      <c r="N291" s="4" t="s">
        <v>205</v>
      </c>
      <c r="O291" s="4"/>
      <c r="P291" s="1463"/>
      <c r="Q291" s="1463"/>
      <c r="R291" s="1463"/>
      <c r="S291" s="3"/>
      <c r="T291" s="3" t="s">
        <v>88</v>
      </c>
      <c r="V291" s="3"/>
      <c r="W291" s="3"/>
      <c r="X291" s="3"/>
      <c r="Y291" s="3"/>
      <c r="AA291" s="1468" t="s">
        <v>2721</v>
      </c>
      <c r="AB291" s="1469"/>
      <c r="AC291" s="1469"/>
      <c r="AD291" s="1469"/>
      <c r="AE291" s="1469"/>
      <c r="AF291" s="1469"/>
      <c r="AG291" s="4" t="s">
        <v>205</v>
      </c>
      <c r="AH291" s="4"/>
      <c r="AI291" s="1463"/>
      <c r="AJ291" s="1463"/>
      <c r="AK291" s="1463"/>
    </row>
    <row r="292" spans="2:37" ht="12.95" customHeight="1">
      <c r="B292" s="3" t="s">
        <v>89</v>
      </c>
      <c r="C292" s="3"/>
      <c r="D292" s="3"/>
      <c r="E292" s="3"/>
      <c r="F292" s="3"/>
      <c r="G292" s="3"/>
      <c r="H292" s="1505"/>
      <c r="I292" s="1505"/>
      <c r="J292" s="1505"/>
      <c r="K292" s="1505"/>
      <c r="L292" s="1505"/>
      <c r="M292" s="1505"/>
      <c r="N292" s="4"/>
      <c r="O292" s="4"/>
      <c r="P292" s="35"/>
      <c r="Q292" s="35"/>
      <c r="R292" s="35"/>
      <c r="S292" s="3"/>
      <c r="T292" s="3" t="s">
        <v>89</v>
      </c>
      <c r="V292" s="3"/>
      <c r="W292" s="3"/>
      <c r="X292" s="3"/>
      <c r="Y292" s="3"/>
      <c r="AA292" s="1505"/>
      <c r="AB292" s="1505"/>
      <c r="AC292" s="1505"/>
      <c r="AD292" s="1505"/>
      <c r="AE292" s="1505"/>
      <c r="AF292" s="1505"/>
      <c r="AG292" s="4"/>
      <c r="AH292" s="4"/>
      <c r="AI292" s="35"/>
      <c r="AJ292" s="35"/>
      <c r="AK292" s="35"/>
    </row>
    <row r="293" spans="2:37" ht="12.95" customHeight="1">
      <c r="B293" s="3" t="s">
        <v>76</v>
      </c>
      <c r="C293" s="3"/>
      <c r="D293" s="3"/>
      <c r="E293" s="3"/>
      <c r="F293" s="3"/>
      <c r="G293" s="3"/>
      <c r="H293" s="1397" t="s">
        <v>2630</v>
      </c>
      <c r="I293" s="1397"/>
      <c r="J293" s="1397"/>
      <c r="K293" s="1397"/>
      <c r="L293" s="1397"/>
      <c r="M293" s="1397"/>
      <c r="N293" s="1393"/>
      <c r="O293" s="1393"/>
      <c r="P293" s="1393"/>
      <c r="Q293" s="1393"/>
      <c r="R293" s="1393"/>
      <c r="S293" s="3"/>
      <c r="T293" s="3" t="s">
        <v>76</v>
      </c>
      <c r="V293" s="3"/>
      <c r="W293" s="3"/>
      <c r="X293" s="3"/>
      <c r="Y293" s="3"/>
      <c r="AA293" s="1582" t="s">
        <v>2722</v>
      </c>
      <c r="AB293" s="1397"/>
      <c r="AC293" s="1397"/>
      <c r="AD293" s="1397"/>
      <c r="AE293" s="1397"/>
      <c r="AF293" s="1397"/>
      <c r="AG293" s="1393"/>
      <c r="AH293" s="1393"/>
      <c r="AI293" s="1393"/>
      <c r="AJ293" s="1393"/>
      <c r="AK293" s="1393"/>
    </row>
    <row r="294" spans="2:37"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5" customHeight="1">
      <c r="B295" s="3" t="s">
        <v>322</v>
      </c>
      <c r="C295" s="3"/>
      <c r="D295" s="3"/>
      <c r="E295" s="3"/>
      <c r="F295" s="3"/>
      <c r="H295" s="1393" t="s">
        <v>2648</v>
      </c>
      <c r="I295" s="1393"/>
      <c r="J295" s="1393"/>
      <c r="K295" s="1393"/>
      <c r="L295" s="1393"/>
      <c r="M295" s="1393"/>
      <c r="N295" s="1393"/>
      <c r="O295" s="1393"/>
      <c r="P295" s="1393"/>
      <c r="Q295" s="1393"/>
      <c r="R295" s="1393"/>
      <c r="T295" s="3" t="s">
        <v>363</v>
      </c>
      <c r="V295" s="3"/>
      <c r="W295" s="3"/>
      <c r="X295" s="3"/>
      <c r="Y295" s="3"/>
      <c r="AA295" s="1393" t="s">
        <v>2678</v>
      </c>
      <c r="AB295" s="1393"/>
      <c r="AC295" s="1393"/>
      <c r="AD295" s="1393"/>
      <c r="AE295" s="1393"/>
      <c r="AF295" s="1393"/>
      <c r="AG295" s="1393"/>
      <c r="AH295" s="1393"/>
      <c r="AI295" s="1393"/>
      <c r="AJ295" s="1393"/>
      <c r="AK295" s="1393"/>
    </row>
    <row r="296" spans="2:37" ht="12.95" customHeight="1">
      <c r="B296" s="3" t="s">
        <v>471</v>
      </c>
      <c r="C296" s="3"/>
      <c r="D296" s="3"/>
      <c r="E296" s="3"/>
      <c r="F296" s="3"/>
      <c r="H296" s="1397" t="s">
        <v>2649</v>
      </c>
      <c r="I296" s="1397"/>
      <c r="J296" s="1397"/>
      <c r="K296" s="1397"/>
      <c r="L296" s="1397"/>
      <c r="M296" s="1397"/>
      <c r="N296" s="1397"/>
      <c r="O296" s="1397"/>
      <c r="P296" s="1397"/>
      <c r="Q296" s="1397"/>
      <c r="R296" s="1397"/>
      <c r="T296" s="3" t="s">
        <v>471</v>
      </c>
      <c r="V296" s="3"/>
      <c r="W296" s="3"/>
      <c r="X296" s="3"/>
      <c r="Y296" s="3"/>
      <c r="AA296" s="1397"/>
      <c r="AB296" s="1397"/>
      <c r="AC296" s="1397"/>
      <c r="AD296" s="1397"/>
      <c r="AE296" s="1397"/>
      <c r="AF296" s="1397"/>
      <c r="AG296" s="1397"/>
      <c r="AH296" s="1397"/>
      <c r="AI296" s="1397"/>
      <c r="AJ296" s="1397"/>
      <c r="AK296" s="1397"/>
    </row>
    <row r="297" spans="2:37" ht="12.95" customHeight="1">
      <c r="B297" s="3" t="s">
        <v>472</v>
      </c>
      <c r="C297" s="3"/>
      <c r="D297" s="3"/>
      <c r="E297" s="3"/>
      <c r="F297" s="3"/>
      <c r="H297" s="1397" t="s">
        <v>2650</v>
      </c>
      <c r="I297" s="1397"/>
      <c r="J297" s="1397"/>
      <c r="K297" s="1397"/>
      <c r="L297" s="1397"/>
      <c r="M297" s="1397"/>
      <c r="N297" s="1397"/>
      <c r="O297" s="1397"/>
      <c r="P297" s="1397"/>
      <c r="Q297" s="1397"/>
      <c r="R297" s="1397"/>
      <c r="T297" s="3" t="s">
        <v>75</v>
      </c>
      <c r="V297" s="3"/>
      <c r="W297" s="3"/>
      <c r="X297" s="3"/>
      <c r="Y297" s="3"/>
      <c r="AA297" s="1397"/>
      <c r="AB297" s="1397"/>
      <c r="AC297" s="1397"/>
      <c r="AD297" s="1397"/>
      <c r="AE297" s="1397"/>
      <c r="AF297" s="1397"/>
      <c r="AG297" s="1397"/>
      <c r="AH297" s="1397"/>
      <c r="AI297" s="1397"/>
      <c r="AJ297" s="1397"/>
      <c r="AK297" s="1397"/>
    </row>
    <row r="298" spans="2:37" ht="12.95" customHeight="1">
      <c r="B298" s="3" t="s">
        <v>87</v>
      </c>
      <c r="C298" s="3"/>
      <c r="D298" s="3"/>
      <c r="E298" s="3"/>
      <c r="F298" s="3"/>
      <c r="H298" s="1397" t="s">
        <v>2651</v>
      </c>
      <c r="I298" s="1397"/>
      <c r="J298" s="1397"/>
      <c r="K298" s="1397"/>
      <c r="L298" s="1397"/>
      <c r="M298" s="1397"/>
      <c r="N298" s="1397"/>
      <c r="O298" s="1397"/>
      <c r="P298" s="1397"/>
      <c r="Q298" s="1397"/>
      <c r="R298" s="1397"/>
      <c r="T298" s="3" t="s">
        <v>87</v>
      </c>
      <c r="V298" s="3"/>
      <c r="W298" s="3"/>
      <c r="X298" s="3"/>
      <c r="Y298" s="3"/>
      <c r="AA298" s="1397"/>
      <c r="AB298" s="1397"/>
      <c r="AC298" s="1397"/>
      <c r="AD298" s="1397"/>
      <c r="AE298" s="1397"/>
      <c r="AF298" s="1397"/>
      <c r="AG298" s="1397"/>
      <c r="AH298" s="1397"/>
      <c r="AI298" s="1397"/>
      <c r="AJ298" s="1397"/>
      <c r="AK298" s="1397"/>
    </row>
    <row r="299" spans="2:37" ht="12.95" customHeight="1">
      <c r="B299" s="3" t="s">
        <v>88</v>
      </c>
      <c r="C299" s="3"/>
      <c r="D299" s="3"/>
      <c r="E299" s="3"/>
      <c r="F299" s="3"/>
      <c r="G299" s="3"/>
      <c r="H299" s="1469" t="s">
        <v>2652</v>
      </c>
      <c r="I299" s="1469"/>
      <c r="J299" s="1469"/>
      <c r="K299" s="1469"/>
      <c r="L299" s="1469"/>
      <c r="M299" s="1469"/>
      <c r="N299" s="4" t="s">
        <v>205</v>
      </c>
      <c r="O299" s="4"/>
      <c r="P299" s="1463"/>
      <c r="Q299" s="1463"/>
      <c r="R299" s="1463"/>
      <c r="S299" s="3"/>
      <c r="T299" s="3" t="s">
        <v>88</v>
      </c>
      <c r="V299" s="3"/>
      <c r="W299" s="3"/>
      <c r="X299" s="3"/>
      <c r="Y299" s="3"/>
      <c r="AA299" s="1469"/>
      <c r="AB299" s="1469"/>
      <c r="AC299" s="1469"/>
      <c r="AD299" s="1469"/>
      <c r="AE299" s="1469"/>
      <c r="AF299" s="1469"/>
      <c r="AG299" s="4" t="s">
        <v>205</v>
      </c>
      <c r="AH299" s="4"/>
      <c r="AI299" s="1463"/>
      <c r="AJ299" s="1463"/>
      <c r="AK299" s="1463"/>
    </row>
    <row r="300" spans="2:37" ht="12.95" customHeight="1">
      <c r="B300" s="3" t="s">
        <v>89</v>
      </c>
      <c r="C300" s="3"/>
      <c r="D300" s="3"/>
      <c r="E300" s="3"/>
      <c r="F300" s="3"/>
      <c r="G300" s="3"/>
      <c r="H300" s="1505"/>
      <c r="I300" s="1505"/>
      <c r="J300" s="1505"/>
      <c r="K300" s="1505"/>
      <c r="L300" s="1505"/>
      <c r="M300" s="1505"/>
      <c r="N300" s="4"/>
      <c r="O300" s="4"/>
      <c r="P300" s="35"/>
      <c r="Q300" s="35"/>
      <c r="R300" s="35"/>
      <c r="S300" s="3"/>
      <c r="T300" s="3" t="s">
        <v>89</v>
      </c>
      <c r="V300" s="3"/>
      <c r="W300" s="3"/>
      <c r="X300" s="3"/>
      <c r="Y300" s="3"/>
      <c r="AA300" s="1505"/>
      <c r="AB300" s="1505"/>
      <c r="AC300" s="1505"/>
      <c r="AD300" s="1505"/>
      <c r="AE300" s="1505"/>
      <c r="AF300" s="1505"/>
      <c r="AG300" s="4"/>
      <c r="AH300" s="4"/>
      <c r="AI300" s="35"/>
      <c r="AJ300" s="35"/>
      <c r="AK300" s="35"/>
    </row>
    <row r="301" spans="2:37" ht="12.95" customHeight="1">
      <c r="B301" s="3" t="s">
        <v>76</v>
      </c>
      <c r="C301" s="3"/>
      <c r="D301" s="3"/>
      <c r="E301" s="3"/>
      <c r="F301" s="3"/>
      <c r="G301" s="3"/>
      <c r="H301" s="1397" t="s">
        <v>2653</v>
      </c>
      <c r="I301" s="1397"/>
      <c r="J301" s="1397"/>
      <c r="K301" s="1397"/>
      <c r="L301" s="1397"/>
      <c r="M301" s="1397"/>
      <c r="N301" s="1393"/>
      <c r="O301" s="1393"/>
      <c r="P301" s="1393"/>
      <c r="Q301" s="1393"/>
      <c r="R301" s="1393"/>
      <c r="S301" s="3"/>
      <c r="T301" s="3" t="s">
        <v>76</v>
      </c>
      <c r="V301" s="3"/>
      <c r="W301" s="3"/>
      <c r="X301" s="3"/>
      <c r="Y301" s="3"/>
      <c r="AA301" s="1397"/>
      <c r="AB301" s="1397"/>
      <c r="AC301" s="1397"/>
      <c r="AD301" s="1397"/>
      <c r="AE301" s="1397"/>
      <c r="AF301" s="1397"/>
      <c r="AG301" s="1393"/>
      <c r="AH301" s="1393"/>
      <c r="AI301" s="1393"/>
      <c r="AJ301" s="1393"/>
      <c r="AK301" s="1393"/>
    </row>
    <row r="302" spans="2:37" ht="12.95" customHeight="1"/>
    <row r="303" spans="2:37" ht="12.95" customHeight="1">
      <c r="B303" s="3" t="s">
        <v>77</v>
      </c>
      <c r="C303" s="3"/>
      <c r="D303" s="3"/>
      <c r="E303" s="3"/>
      <c r="F303" s="3"/>
      <c r="H303" s="1393" t="s">
        <v>2654</v>
      </c>
      <c r="I303" s="1393"/>
      <c r="J303" s="1393"/>
      <c r="K303" s="1393"/>
      <c r="L303" s="1393"/>
      <c r="M303" s="1393"/>
      <c r="N303" s="1393"/>
      <c r="O303" s="1393"/>
      <c r="P303" s="1393"/>
      <c r="Q303" s="1393"/>
      <c r="R303" s="1393"/>
      <c r="T303" s="4" t="s">
        <v>878</v>
      </c>
      <c r="V303" s="3"/>
      <c r="W303" s="3"/>
      <c r="X303" s="3"/>
      <c r="Y303" s="3"/>
      <c r="AA303" s="1393" t="s">
        <v>2678</v>
      </c>
      <c r="AB303" s="1393"/>
      <c r="AC303" s="1393"/>
      <c r="AD303" s="1393"/>
      <c r="AE303" s="1393"/>
      <c r="AF303" s="1393"/>
      <c r="AG303" s="1393"/>
      <c r="AH303" s="1393"/>
      <c r="AI303" s="1393"/>
      <c r="AJ303" s="1393"/>
      <c r="AK303" s="1393"/>
    </row>
    <row r="304" spans="2:37" ht="12.95" customHeight="1">
      <c r="B304" s="3" t="s">
        <v>471</v>
      </c>
      <c r="C304" s="3"/>
      <c r="D304" s="3"/>
      <c r="E304" s="3"/>
      <c r="F304" s="3"/>
      <c r="H304" s="1397" t="s">
        <v>2655</v>
      </c>
      <c r="I304" s="1397"/>
      <c r="J304" s="1397"/>
      <c r="K304" s="1397"/>
      <c r="L304" s="1397"/>
      <c r="M304" s="1397"/>
      <c r="N304" s="1397"/>
      <c r="O304" s="1397"/>
      <c r="P304" s="1397"/>
      <c r="Q304" s="1397"/>
      <c r="R304" s="1397"/>
      <c r="T304" s="3" t="s">
        <v>471</v>
      </c>
      <c r="V304" s="3"/>
      <c r="W304" s="3"/>
      <c r="X304" s="3"/>
      <c r="Y304" s="3"/>
      <c r="AA304" s="1397"/>
      <c r="AB304" s="1397"/>
      <c r="AC304" s="1397"/>
      <c r="AD304" s="1397"/>
      <c r="AE304" s="1397"/>
      <c r="AF304" s="1397"/>
      <c r="AG304" s="1397"/>
      <c r="AH304" s="1397"/>
      <c r="AI304" s="1397"/>
      <c r="AJ304" s="1397"/>
      <c r="AK304" s="1397"/>
    </row>
    <row r="305" spans="2:37" ht="12.95" customHeight="1">
      <c r="B305" s="3" t="s">
        <v>472</v>
      </c>
      <c r="C305" s="3"/>
      <c r="D305" s="3"/>
      <c r="E305" s="3"/>
      <c r="F305" s="3"/>
      <c r="H305" s="1397" t="s">
        <v>2656</v>
      </c>
      <c r="I305" s="1397"/>
      <c r="J305" s="1397"/>
      <c r="K305" s="1397"/>
      <c r="L305" s="1397"/>
      <c r="M305" s="1397"/>
      <c r="N305" s="1397"/>
      <c r="O305" s="1397"/>
      <c r="P305" s="1397"/>
      <c r="Q305" s="1397"/>
      <c r="R305" s="1397"/>
      <c r="T305" s="3" t="s">
        <v>75</v>
      </c>
      <c r="V305" s="3"/>
      <c r="W305" s="3"/>
      <c r="X305" s="3"/>
      <c r="Y305" s="3"/>
      <c r="AA305" s="1397"/>
      <c r="AB305" s="1397"/>
      <c r="AC305" s="1397"/>
      <c r="AD305" s="1397"/>
      <c r="AE305" s="1397"/>
      <c r="AF305" s="1397"/>
      <c r="AG305" s="1397"/>
      <c r="AH305" s="1397"/>
      <c r="AI305" s="1397"/>
      <c r="AJ305" s="1397"/>
      <c r="AK305" s="1397"/>
    </row>
    <row r="306" spans="2:37" ht="12.95" customHeight="1">
      <c r="B306" s="3" t="s">
        <v>87</v>
      </c>
      <c r="C306" s="3"/>
      <c r="D306" s="3"/>
      <c r="E306" s="3"/>
      <c r="F306" s="3"/>
      <c r="H306" s="1397" t="s">
        <v>2657</v>
      </c>
      <c r="I306" s="1397"/>
      <c r="J306" s="1397"/>
      <c r="K306" s="1397"/>
      <c r="L306" s="1397"/>
      <c r="M306" s="1397"/>
      <c r="N306" s="1397"/>
      <c r="O306" s="1397"/>
      <c r="P306" s="1397"/>
      <c r="Q306" s="1397"/>
      <c r="R306" s="1397"/>
      <c r="T306" s="3" t="s">
        <v>87</v>
      </c>
      <c r="V306" s="3"/>
      <c r="W306" s="3"/>
      <c r="X306" s="3"/>
      <c r="Y306" s="3"/>
      <c r="AA306" s="1397"/>
      <c r="AB306" s="1397"/>
      <c r="AC306" s="1397"/>
      <c r="AD306" s="1397"/>
      <c r="AE306" s="1397"/>
      <c r="AF306" s="1397"/>
      <c r="AG306" s="1397"/>
      <c r="AH306" s="1397"/>
      <c r="AI306" s="1397"/>
      <c r="AJ306" s="1397"/>
      <c r="AK306" s="1397"/>
    </row>
    <row r="307" spans="2:37" ht="12.95" customHeight="1">
      <c r="B307" s="3" t="s">
        <v>88</v>
      </c>
      <c r="C307" s="3"/>
      <c r="D307" s="3"/>
      <c r="E307" s="3"/>
      <c r="F307" s="3"/>
      <c r="G307" s="3"/>
      <c r="H307" s="1469" t="s">
        <v>2658</v>
      </c>
      <c r="I307" s="1469"/>
      <c r="J307" s="1469"/>
      <c r="K307" s="1469"/>
      <c r="L307" s="1469"/>
      <c r="M307" s="1469"/>
      <c r="N307" s="4" t="s">
        <v>205</v>
      </c>
      <c r="O307" s="4"/>
      <c r="P307" s="1463"/>
      <c r="Q307" s="1463"/>
      <c r="R307" s="1463"/>
      <c r="S307" s="3"/>
      <c r="T307" s="3" t="s">
        <v>88</v>
      </c>
      <c r="V307" s="3"/>
      <c r="W307" s="3"/>
      <c r="X307" s="3"/>
      <c r="Y307" s="3"/>
      <c r="AA307" s="1469"/>
      <c r="AB307" s="1469"/>
      <c r="AC307" s="1469"/>
      <c r="AD307" s="1469"/>
      <c r="AE307" s="1469"/>
      <c r="AF307" s="1469"/>
      <c r="AG307" s="4" t="s">
        <v>205</v>
      </c>
      <c r="AH307" s="4"/>
      <c r="AI307" s="1463"/>
      <c r="AJ307" s="1463"/>
      <c r="AK307" s="1463"/>
    </row>
    <row r="308" spans="2:37" ht="12.95" customHeight="1">
      <c r="B308" s="3" t="s">
        <v>89</v>
      </c>
      <c r="C308" s="3"/>
      <c r="D308" s="3"/>
      <c r="E308" s="3"/>
      <c r="F308" s="3"/>
      <c r="G308" s="3"/>
      <c r="H308" s="1505"/>
      <c r="I308" s="1505"/>
      <c r="J308" s="1505"/>
      <c r="K308" s="1505"/>
      <c r="L308" s="1505"/>
      <c r="M308" s="1505"/>
      <c r="N308" s="4"/>
      <c r="O308" s="4"/>
      <c r="P308" s="35"/>
      <c r="Q308" s="35"/>
      <c r="R308" s="35"/>
      <c r="S308" s="3"/>
      <c r="T308" s="3" t="s">
        <v>89</v>
      </c>
      <c r="V308" s="3"/>
      <c r="W308" s="3"/>
      <c r="X308" s="3"/>
      <c r="Y308" s="3"/>
      <c r="AA308" s="1505"/>
      <c r="AB308" s="1505"/>
      <c r="AC308" s="1505"/>
      <c r="AD308" s="1505"/>
      <c r="AE308" s="1505"/>
      <c r="AF308" s="1505"/>
      <c r="AG308" s="4"/>
      <c r="AH308" s="4"/>
      <c r="AI308" s="35"/>
      <c r="AJ308" s="35"/>
      <c r="AK308" s="35"/>
    </row>
    <row r="309" spans="2:37" ht="12.95" customHeight="1">
      <c r="B309" s="3" t="s">
        <v>76</v>
      </c>
      <c r="C309" s="3"/>
      <c r="D309" s="3"/>
      <c r="E309" s="3"/>
      <c r="F309" s="3"/>
      <c r="G309" s="3"/>
      <c r="H309" s="1397" t="s">
        <v>2659</v>
      </c>
      <c r="I309" s="1397"/>
      <c r="J309" s="1397"/>
      <c r="K309" s="1397"/>
      <c r="L309" s="1397"/>
      <c r="M309" s="1397"/>
      <c r="N309" s="1393"/>
      <c r="O309" s="1393"/>
      <c r="P309" s="1393"/>
      <c r="Q309" s="1393"/>
      <c r="R309" s="1393"/>
      <c r="S309" s="3"/>
      <c r="T309" s="3" t="s">
        <v>76</v>
      </c>
      <c r="V309" s="3"/>
      <c r="W309" s="3"/>
      <c r="X309" s="3"/>
      <c r="Y309" s="3"/>
      <c r="AA309" s="1397"/>
      <c r="AB309" s="1397"/>
      <c r="AC309" s="1397"/>
      <c r="AD309" s="1397"/>
      <c r="AE309" s="1397"/>
      <c r="AF309" s="1397"/>
      <c r="AG309" s="1393"/>
      <c r="AH309" s="1393"/>
      <c r="AI309" s="1393"/>
      <c r="AJ309" s="1393"/>
      <c r="AK309" s="1393"/>
    </row>
    <row r="310" spans="2:37"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2.95" customHeight="1">
      <c r="B311" s="4" t="s">
        <v>907</v>
      </c>
      <c r="C311" s="3"/>
      <c r="D311" s="3"/>
      <c r="E311" s="3"/>
      <c r="F311" s="3"/>
      <c r="H311" s="1393" t="s">
        <v>2654</v>
      </c>
      <c r="I311" s="1393"/>
      <c r="J311" s="1393"/>
      <c r="K311" s="1393"/>
      <c r="L311" s="1393"/>
      <c r="M311" s="1393"/>
      <c r="N311" s="1393"/>
      <c r="O311" s="1393"/>
      <c r="P311" s="1393"/>
      <c r="Q311" s="1393"/>
      <c r="R311" s="1393"/>
      <c r="S311" s="3"/>
      <c r="T311" s="3" t="s">
        <v>364</v>
      </c>
      <c r="V311" s="3"/>
      <c r="W311" s="3"/>
      <c r="X311" s="3"/>
      <c r="Y311" s="3"/>
      <c r="AA311" s="1393" t="s">
        <v>2672</v>
      </c>
      <c r="AB311" s="1393"/>
      <c r="AC311" s="1393"/>
      <c r="AD311" s="1393"/>
      <c r="AE311" s="1393"/>
      <c r="AF311" s="1393"/>
      <c r="AG311" s="1393"/>
      <c r="AH311" s="1393"/>
      <c r="AI311" s="1393"/>
      <c r="AJ311" s="1393"/>
      <c r="AK311" s="1393"/>
    </row>
    <row r="312" spans="2:37" ht="12.95" customHeight="1">
      <c r="B312" s="3" t="s">
        <v>471</v>
      </c>
      <c r="C312" s="3"/>
      <c r="D312" s="3"/>
      <c r="E312" s="3"/>
      <c r="F312" s="3"/>
      <c r="H312" s="1397" t="s">
        <v>2655</v>
      </c>
      <c r="I312" s="1397"/>
      <c r="J312" s="1397"/>
      <c r="K312" s="1397"/>
      <c r="L312" s="1397"/>
      <c r="M312" s="1397"/>
      <c r="N312" s="1397"/>
      <c r="O312" s="1397"/>
      <c r="P312" s="1397"/>
      <c r="Q312" s="1397"/>
      <c r="R312" s="1397"/>
      <c r="S312" s="3"/>
      <c r="T312" s="3" t="s">
        <v>471</v>
      </c>
      <c r="V312" s="3"/>
      <c r="W312" s="3"/>
      <c r="X312" s="3"/>
      <c r="Y312" s="3"/>
      <c r="AA312" s="1397" t="s">
        <v>2673</v>
      </c>
      <c r="AB312" s="1397"/>
      <c r="AC312" s="1397"/>
      <c r="AD312" s="1397"/>
      <c r="AE312" s="1397"/>
      <c r="AF312" s="1397"/>
      <c r="AG312" s="1397"/>
      <c r="AH312" s="1397"/>
      <c r="AI312" s="1397"/>
      <c r="AJ312" s="1397"/>
      <c r="AK312" s="1397"/>
    </row>
    <row r="313" spans="2:37" ht="12.95" customHeight="1">
      <c r="B313" s="3" t="s">
        <v>472</v>
      </c>
      <c r="C313" s="3"/>
      <c r="D313" s="3"/>
      <c r="E313" s="3"/>
      <c r="F313" s="3"/>
      <c r="H313" s="1397" t="s">
        <v>2656</v>
      </c>
      <c r="I313" s="1397"/>
      <c r="J313" s="1397"/>
      <c r="K313" s="1397"/>
      <c r="L313" s="1397"/>
      <c r="M313" s="1397"/>
      <c r="N313" s="1397"/>
      <c r="O313" s="1397"/>
      <c r="P313" s="1397"/>
      <c r="Q313" s="1397"/>
      <c r="R313" s="1397"/>
      <c r="S313" s="3"/>
      <c r="T313" s="3" t="s">
        <v>75</v>
      </c>
      <c r="V313" s="3"/>
      <c r="W313" s="3"/>
      <c r="X313" s="3"/>
      <c r="Y313" s="3"/>
      <c r="AA313" s="1397" t="s">
        <v>2674</v>
      </c>
      <c r="AB313" s="1397"/>
      <c r="AC313" s="1397"/>
      <c r="AD313" s="1397"/>
      <c r="AE313" s="1397"/>
      <c r="AF313" s="1397"/>
      <c r="AG313" s="1397"/>
      <c r="AH313" s="1397"/>
      <c r="AI313" s="1397"/>
      <c r="AJ313" s="1397"/>
      <c r="AK313" s="1397"/>
    </row>
    <row r="314" spans="2:37" ht="12.95" customHeight="1">
      <c r="B314" s="3" t="s">
        <v>87</v>
      </c>
      <c r="C314" s="3"/>
      <c r="D314" s="3"/>
      <c r="E314" s="3"/>
      <c r="F314" s="3"/>
      <c r="H314" s="1397" t="s">
        <v>2657</v>
      </c>
      <c r="I314" s="1397"/>
      <c r="J314" s="1397"/>
      <c r="K314" s="1397"/>
      <c r="L314" s="1397"/>
      <c r="M314" s="1397"/>
      <c r="N314" s="1397"/>
      <c r="O314" s="1397"/>
      <c r="P314" s="1397"/>
      <c r="Q314" s="1397"/>
      <c r="R314" s="1397"/>
      <c r="S314" s="3"/>
      <c r="T314" s="3" t="s">
        <v>87</v>
      </c>
      <c r="V314" s="3"/>
      <c r="W314" s="3"/>
      <c r="X314" s="3"/>
      <c r="Y314" s="3"/>
      <c r="AA314" s="1397" t="s">
        <v>2675</v>
      </c>
      <c r="AB314" s="1397"/>
      <c r="AC314" s="1397"/>
      <c r="AD314" s="1397"/>
      <c r="AE314" s="1397"/>
      <c r="AF314" s="1397"/>
      <c r="AG314" s="1397"/>
      <c r="AH314" s="1397"/>
      <c r="AI314" s="1397"/>
      <c r="AJ314" s="1397"/>
      <c r="AK314" s="1397"/>
    </row>
    <row r="315" spans="2:37" ht="12.95" customHeight="1">
      <c r="B315" s="3" t="s">
        <v>88</v>
      </c>
      <c r="C315" s="3"/>
      <c r="D315" s="3"/>
      <c r="E315" s="3"/>
      <c r="F315" s="3"/>
      <c r="G315" s="3"/>
      <c r="H315" s="1469" t="s">
        <v>2658</v>
      </c>
      <c r="I315" s="1469"/>
      <c r="J315" s="1469"/>
      <c r="K315" s="1469"/>
      <c r="L315" s="1469"/>
      <c r="M315" s="1469"/>
      <c r="N315" s="4" t="s">
        <v>205</v>
      </c>
      <c r="O315" s="4"/>
      <c r="P315" s="1463"/>
      <c r="Q315" s="1463"/>
      <c r="R315" s="1463"/>
      <c r="S315" s="3"/>
      <c r="T315" s="3" t="s">
        <v>88</v>
      </c>
      <c r="V315" s="3"/>
      <c r="W315" s="3"/>
      <c r="X315" s="3"/>
      <c r="Y315" s="3"/>
      <c r="AA315" s="1469" t="s">
        <v>2676</v>
      </c>
      <c r="AB315" s="1469"/>
      <c r="AC315" s="1469"/>
      <c r="AD315" s="1469"/>
      <c r="AE315" s="1469"/>
      <c r="AF315" s="1469"/>
      <c r="AG315" s="4" t="s">
        <v>205</v>
      </c>
      <c r="AH315" s="4"/>
      <c r="AI315" s="1463"/>
      <c r="AJ315" s="1463"/>
      <c r="AK315" s="1463"/>
    </row>
    <row r="316" spans="2:37" ht="12.95" customHeight="1">
      <c r="B316" s="3" t="s">
        <v>89</v>
      </c>
      <c r="C316" s="3"/>
      <c r="D316" s="3"/>
      <c r="E316" s="3"/>
      <c r="F316" s="3"/>
      <c r="G316" s="3"/>
      <c r="H316" s="1505"/>
      <c r="I316" s="1505"/>
      <c r="J316" s="1505"/>
      <c r="K316" s="1505"/>
      <c r="L316" s="1505"/>
      <c r="M316" s="1505"/>
      <c r="N316" s="4"/>
      <c r="O316" s="4"/>
      <c r="P316" s="35"/>
      <c r="Q316" s="35"/>
      <c r="R316" s="35"/>
      <c r="S316" s="3"/>
      <c r="T316" s="3" t="s">
        <v>89</v>
      </c>
      <c r="V316" s="3"/>
      <c r="W316" s="3"/>
      <c r="X316" s="3"/>
      <c r="Y316" s="3"/>
      <c r="AA316" s="1505"/>
      <c r="AB316" s="1505"/>
      <c r="AC316" s="1505"/>
      <c r="AD316" s="1505"/>
      <c r="AE316" s="1505"/>
      <c r="AF316" s="1505"/>
      <c r="AG316" s="4"/>
      <c r="AH316" s="4"/>
      <c r="AI316" s="35"/>
      <c r="AJ316" s="35"/>
      <c r="AK316" s="35"/>
    </row>
    <row r="317" spans="2:37" ht="12.95" customHeight="1">
      <c r="B317" s="3" t="s">
        <v>76</v>
      </c>
      <c r="C317" s="3"/>
      <c r="D317" s="3"/>
      <c r="E317" s="3"/>
      <c r="F317" s="3"/>
      <c r="G317" s="3"/>
      <c r="H317" s="1397" t="s">
        <v>2659</v>
      </c>
      <c r="I317" s="1397"/>
      <c r="J317" s="1397"/>
      <c r="K317" s="1397"/>
      <c r="L317" s="1397"/>
      <c r="M317" s="1397"/>
      <c r="N317" s="1393"/>
      <c r="O317" s="1393"/>
      <c r="P317" s="1393"/>
      <c r="Q317" s="1393"/>
      <c r="R317" s="1393"/>
      <c r="S317" s="3"/>
      <c r="T317" s="3" t="s">
        <v>76</v>
      </c>
      <c r="V317" s="3"/>
      <c r="W317" s="3"/>
      <c r="X317" s="3"/>
      <c r="Y317" s="3"/>
      <c r="AA317" s="1397" t="s">
        <v>2677</v>
      </c>
      <c r="AB317" s="1397"/>
      <c r="AC317" s="1397"/>
      <c r="AD317" s="1397"/>
      <c r="AE317" s="1397"/>
      <c r="AF317" s="1397"/>
      <c r="AG317" s="1393"/>
      <c r="AH317" s="1393"/>
      <c r="AI317" s="1393"/>
      <c r="AJ317" s="1393"/>
      <c r="AK317" s="1393"/>
    </row>
    <row r="318" spans="2:37" ht="12.95" customHeight="1"/>
    <row r="319" spans="2:37" ht="12.95" customHeight="1">
      <c r="B319" s="4" t="s">
        <v>908</v>
      </c>
      <c r="C319" s="3"/>
      <c r="D319" s="3"/>
      <c r="E319" s="3"/>
      <c r="F319" s="3"/>
      <c r="H319" s="1393" t="s">
        <v>2660</v>
      </c>
      <c r="I319" s="1393"/>
      <c r="J319" s="1393"/>
      <c r="K319" s="1393"/>
      <c r="L319" s="1393"/>
      <c r="M319" s="1393"/>
      <c r="N319" s="1393"/>
      <c r="O319" s="1393"/>
      <c r="P319" s="1393"/>
      <c r="Q319" s="1393"/>
      <c r="R319" s="1393"/>
      <c r="T319" s="3" t="s">
        <v>365</v>
      </c>
      <c r="V319" s="3"/>
      <c r="W319" s="3"/>
      <c r="X319" s="3"/>
      <c r="Y319" s="3"/>
      <c r="AA319" s="1393" t="s">
        <v>2679</v>
      </c>
      <c r="AB319" s="1393"/>
      <c r="AC319" s="1393"/>
      <c r="AD319" s="1393"/>
      <c r="AE319" s="1393"/>
      <c r="AF319" s="1393"/>
      <c r="AG319" s="1393"/>
      <c r="AH319" s="1393"/>
      <c r="AI319" s="1393"/>
      <c r="AJ319" s="1393"/>
      <c r="AK319" s="1393"/>
    </row>
    <row r="320" spans="2:37" ht="12.95" customHeight="1">
      <c r="B320" s="3" t="s">
        <v>471</v>
      </c>
      <c r="C320" s="3"/>
      <c r="D320" s="3"/>
      <c r="E320" s="3"/>
      <c r="F320" s="3"/>
      <c r="H320" s="1397" t="s">
        <v>2661</v>
      </c>
      <c r="I320" s="1397"/>
      <c r="J320" s="1397"/>
      <c r="K320" s="1397"/>
      <c r="L320" s="1397"/>
      <c r="M320" s="1397"/>
      <c r="N320" s="1397"/>
      <c r="O320" s="1397"/>
      <c r="P320" s="1397"/>
      <c r="Q320" s="1397"/>
      <c r="R320" s="1397"/>
      <c r="T320" s="3" t="s">
        <v>471</v>
      </c>
      <c r="V320" s="3"/>
      <c r="W320" s="3"/>
      <c r="X320" s="3"/>
      <c r="Y320" s="3"/>
      <c r="AA320" s="1397" t="s">
        <v>2680</v>
      </c>
      <c r="AB320" s="1397"/>
      <c r="AC320" s="1397"/>
      <c r="AD320" s="1397"/>
      <c r="AE320" s="1397"/>
      <c r="AF320" s="1397"/>
      <c r="AG320" s="1397"/>
      <c r="AH320" s="1397"/>
      <c r="AI320" s="1397"/>
      <c r="AJ320" s="1397"/>
      <c r="AK320" s="1397"/>
    </row>
    <row r="321" spans="2:37" ht="12.95" customHeight="1">
      <c r="B321" s="3" t="s">
        <v>472</v>
      </c>
      <c r="C321" s="3"/>
      <c r="D321" s="3"/>
      <c r="E321" s="3"/>
      <c r="F321" s="3"/>
      <c r="H321" s="1397" t="s">
        <v>2662</v>
      </c>
      <c r="I321" s="1397"/>
      <c r="J321" s="1397"/>
      <c r="K321" s="1397"/>
      <c r="L321" s="1397"/>
      <c r="M321" s="1397"/>
      <c r="N321" s="1397"/>
      <c r="O321" s="1397"/>
      <c r="P321" s="1397"/>
      <c r="Q321" s="1397"/>
      <c r="R321" s="1397"/>
      <c r="T321" s="3" t="s">
        <v>75</v>
      </c>
      <c r="V321" s="3"/>
      <c r="W321" s="3"/>
      <c r="X321" s="3"/>
      <c r="Y321" s="3"/>
      <c r="AA321" s="1397" t="s">
        <v>2681</v>
      </c>
      <c r="AB321" s="1397"/>
      <c r="AC321" s="1397"/>
      <c r="AD321" s="1397"/>
      <c r="AE321" s="1397"/>
      <c r="AF321" s="1397"/>
      <c r="AG321" s="1397"/>
      <c r="AH321" s="1397"/>
      <c r="AI321" s="1397"/>
      <c r="AJ321" s="1397"/>
      <c r="AK321" s="1397"/>
    </row>
    <row r="322" spans="2:37" ht="12.95" customHeight="1">
      <c r="B322" s="3" t="s">
        <v>87</v>
      </c>
      <c r="C322" s="3"/>
      <c r="D322" s="3"/>
      <c r="E322" s="3"/>
      <c r="F322" s="3"/>
      <c r="H322" s="1397" t="s">
        <v>2663</v>
      </c>
      <c r="I322" s="1397"/>
      <c r="J322" s="1397"/>
      <c r="K322" s="1397"/>
      <c r="L322" s="1397"/>
      <c r="M322" s="1397"/>
      <c r="N322" s="1397"/>
      <c r="O322" s="1397"/>
      <c r="P322" s="1397"/>
      <c r="Q322" s="1397"/>
      <c r="R322" s="1397"/>
      <c r="T322" s="3" t="s">
        <v>87</v>
      </c>
      <c r="V322" s="3"/>
      <c r="W322" s="3"/>
      <c r="X322" s="3"/>
      <c r="Y322" s="3"/>
      <c r="AA322" s="1397" t="s">
        <v>2682</v>
      </c>
      <c r="AB322" s="1397"/>
      <c r="AC322" s="1397"/>
      <c r="AD322" s="1397"/>
      <c r="AE322" s="1397"/>
      <c r="AF322" s="1397"/>
      <c r="AG322" s="1397"/>
      <c r="AH322" s="1397"/>
      <c r="AI322" s="1397"/>
      <c r="AJ322" s="1397"/>
      <c r="AK322" s="1397"/>
    </row>
    <row r="323" spans="2:37" ht="12.95" customHeight="1">
      <c r="B323" s="3" t="s">
        <v>88</v>
      </c>
      <c r="C323" s="3"/>
      <c r="D323" s="3"/>
      <c r="E323" s="3"/>
      <c r="F323" s="3"/>
      <c r="G323" s="3"/>
      <c r="H323" s="1469" t="s">
        <v>2664</v>
      </c>
      <c r="I323" s="1469"/>
      <c r="J323" s="1469"/>
      <c r="K323" s="1469"/>
      <c r="L323" s="1469"/>
      <c r="M323" s="1469"/>
      <c r="N323" s="4" t="s">
        <v>205</v>
      </c>
      <c r="O323" s="4"/>
      <c r="P323" s="1463"/>
      <c r="Q323" s="1463"/>
      <c r="R323" s="1463"/>
      <c r="S323" s="3"/>
      <c r="T323" s="3" t="s">
        <v>88</v>
      </c>
      <c r="V323" s="3"/>
      <c r="W323" s="3"/>
      <c r="X323" s="3"/>
      <c r="Y323" s="3"/>
      <c r="AA323" s="1468" t="s">
        <v>2683</v>
      </c>
      <c r="AB323" s="1469"/>
      <c r="AC323" s="1469"/>
      <c r="AD323" s="1469"/>
      <c r="AE323" s="1469"/>
      <c r="AF323" s="1469"/>
      <c r="AG323" s="4" t="s">
        <v>205</v>
      </c>
      <c r="AH323" s="4"/>
      <c r="AI323" s="1463"/>
      <c r="AJ323" s="1463"/>
      <c r="AK323" s="1463"/>
    </row>
    <row r="324" spans="2:37" ht="12.95" customHeight="1">
      <c r="B324" s="3" t="s">
        <v>89</v>
      </c>
      <c r="C324" s="3"/>
      <c r="D324" s="3"/>
      <c r="E324" s="3"/>
      <c r="F324" s="3"/>
      <c r="G324" s="3"/>
      <c r="H324" s="1505"/>
      <c r="I324" s="1505"/>
      <c r="J324" s="1505"/>
      <c r="K324" s="1505"/>
      <c r="L324" s="1505"/>
      <c r="M324" s="1505"/>
      <c r="N324" s="4"/>
      <c r="O324" s="4"/>
      <c r="P324" s="35"/>
      <c r="Q324" s="35"/>
      <c r="R324" s="35"/>
      <c r="S324" s="3"/>
      <c r="T324" s="3" t="s">
        <v>89</v>
      </c>
      <c r="V324" s="3"/>
      <c r="W324" s="3"/>
      <c r="X324" s="3"/>
      <c r="Y324" s="3"/>
      <c r="AA324" s="1505"/>
      <c r="AB324" s="1505"/>
      <c r="AC324" s="1505"/>
      <c r="AD324" s="1505"/>
      <c r="AE324" s="1505"/>
      <c r="AF324" s="1505"/>
      <c r="AG324" s="4"/>
      <c r="AH324" s="4"/>
      <c r="AI324" s="35"/>
      <c r="AJ324" s="35"/>
      <c r="AK324" s="35"/>
    </row>
    <row r="325" spans="2:37" ht="12.95" customHeight="1">
      <c r="B325" s="3" t="s">
        <v>76</v>
      </c>
      <c r="C325" s="3"/>
      <c r="D325" s="3"/>
      <c r="E325" s="3"/>
      <c r="F325" s="3"/>
      <c r="G325" s="3"/>
      <c r="H325" s="1397" t="s">
        <v>2665</v>
      </c>
      <c r="I325" s="1397"/>
      <c r="J325" s="1397"/>
      <c r="K325" s="1397"/>
      <c r="L325" s="1397"/>
      <c r="M325" s="1397"/>
      <c r="N325" s="1393"/>
      <c r="O325" s="1393"/>
      <c r="P325" s="1393"/>
      <c r="Q325" s="1393"/>
      <c r="R325" s="1393"/>
      <c r="S325" s="3"/>
      <c r="T325" s="3" t="s">
        <v>76</v>
      </c>
      <c r="V325" s="3"/>
      <c r="W325" s="3"/>
      <c r="X325" s="3"/>
      <c r="Y325" s="3"/>
      <c r="AA325" s="1397" t="s">
        <v>2684</v>
      </c>
      <c r="AB325" s="1397"/>
      <c r="AC325" s="1397"/>
      <c r="AD325" s="1397"/>
      <c r="AE325" s="1397"/>
      <c r="AF325" s="1397"/>
      <c r="AG325" s="1393"/>
      <c r="AH325" s="1393"/>
      <c r="AI325" s="1393"/>
      <c r="AJ325" s="1393"/>
      <c r="AK325" s="1393"/>
    </row>
    <row r="326" spans="2:37" ht="12.95" customHeight="1">
      <c r="B326" s="3"/>
      <c r="C326" s="3"/>
      <c r="D326" s="3"/>
      <c r="E326" s="3"/>
      <c r="F326" s="3"/>
      <c r="G326" s="3"/>
      <c r="P326" s="163"/>
      <c r="Q326" s="163"/>
      <c r="R326" s="163"/>
      <c r="S326" s="163"/>
      <c r="T326" s="163"/>
      <c r="U326" s="163"/>
      <c r="V326" s="4"/>
      <c r="W326" s="4"/>
      <c r="X326" s="35"/>
      <c r="Y326" s="35"/>
      <c r="Z326" s="35"/>
    </row>
    <row r="327" spans="2:37" ht="12.95" customHeight="1">
      <c r="B327" s="3" t="s">
        <v>366</v>
      </c>
      <c r="C327" s="3"/>
      <c r="D327" s="3"/>
      <c r="E327" s="3"/>
      <c r="F327" s="3"/>
      <c r="H327" s="1393" t="s">
        <v>591</v>
      </c>
      <c r="I327" s="1393"/>
      <c r="J327" s="1393"/>
      <c r="K327" s="1393"/>
      <c r="L327" s="1393"/>
      <c r="M327" s="1393"/>
      <c r="N327" s="1393"/>
      <c r="O327" s="1393"/>
      <c r="P327" s="1393"/>
      <c r="Q327" s="1393"/>
      <c r="R327" s="1393"/>
      <c r="T327" s="3" t="s">
        <v>367</v>
      </c>
      <c r="V327" s="3"/>
      <c r="W327" s="3"/>
      <c r="X327" s="3"/>
      <c r="Y327" s="3"/>
      <c r="AA327" s="1393" t="s">
        <v>591</v>
      </c>
      <c r="AB327" s="1393"/>
      <c r="AC327" s="1393"/>
      <c r="AD327" s="1393"/>
      <c r="AE327" s="1393"/>
      <c r="AF327" s="1393"/>
      <c r="AG327" s="1393"/>
      <c r="AH327" s="1393"/>
      <c r="AI327" s="1393"/>
      <c r="AJ327" s="1393"/>
      <c r="AK327" s="1393"/>
    </row>
    <row r="328" spans="2:37" ht="12.95" customHeight="1">
      <c r="B328" s="3" t="s">
        <v>471</v>
      </c>
      <c r="C328" s="3"/>
      <c r="D328" s="3"/>
      <c r="E328" s="3"/>
      <c r="F328" s="3"/>
      <c r="H328" s="1397"/>
      <c r="I328" s="1397"/>
      <c r="J328" s="1397"/>
      <c r="K328" s="1397"/>
      <c r="L328" s="1397"/>
      <c r="M328" s="1397"/>
      <c r="N328" s="1397"/>
      <c r="O328" s="1397"/>
      <c r="P328" s="1397"/>
      <c r="Q328" s="1397"/>
      <c r="R328" s="1397"/>
      <c r="T328" s="3" t="s">
        <v>471</v>
      </c>
      <c r="V328" s="3"/>
      <c r="W328" s="3"/>
      <c r="X328" s="3"/>
      <c r="Y328" s="3"/>
      <c r="AA328" s="1397"/>
      <c r="AB328" s="1397"/>
      <c r="AC328" s="1397"/>
      <c r="AD328" s="1397"/>
      <c r="AE328" s="1397"/>
      <c r="AF328" s="1397"/>
      <c r="AG328" s="1397"/>
      <c r="AH328" s="1397"/>
      <c r="AI328" s="1397"/>
      <c r="AJ328" s="1397"/>
      <c r="AK328" s="1397"/>
    </row>
    <row r="329" spans="2:37" ht="12.95" customHeight="1">
      <c r="B329" s="3" t="s">
        <v>472</v>
      </c>
      <c r="C329" s="3"/>
      <c r="D329" s="3"/>
      <c r="E329" s="3"/>
      <c r="F329" s="3"/>
      <c r="H329" s="1397"/>
      <c r="I329" s="1397"/>
      <c r="J329" s="1397"/>
      <c r="K329" s="1397"/>
      <c r="L329" s="1397"/>
      <c r="M329" s="1397"/>
      <c r="N329" s="1397"/>
      <c r="O329" s="1397"/>
      <c r="P329" s="1397"/>
      <c r="Q329" s="1397"/>
      <c r="R329" s="1397"/>
      <c r="T329" s="3" t="s">
        <v>75</v>
      </c>
      <c r="V329" s="3"/>
      <c r="W329" s="3"/>
      <c r="X329" s="3"/>
      <c r="Y329" s="3"/>
      <c r="AA329" s="1397"/>
      <c r="AB329" s="1397"/>
      <c r="AC329" s="1397"/>
      <c r="AD329" s="1397"/>
      <c r="AE329" s="1397"/>
      <c r="AF329" s="1397"/>
      <c r="AG329" s="1397"/>
      <c r="AH329" s="1397"/>
      <c r="AI329" s="1397"/>
      <c r="AJ329" s="1397"/>
      <c r="AK329" s="1397"/>
    </row>
    <row r="330" spans="2:37" ht="12.95" customHeight="1">
      <c r="B330" s="3" t="s">
        <v>87</v>
      </c>
      <c r="C330" s="3"/>
      <c r="D330" s="3"/>
      <c r="E330" s="3"/>
      <c r="F330" s="3"/>
      <c r="H330" s="1397"/>
      <c r="I330" s="1397"/>
      <c r="J330" s="1397"/>
      <c r="K330" s="1397"/>
      <c r="L330" s="1397"/>
      <c r="M330" s="1397"/>
      <c r="N330" s="1397"/>
      <c r="O330" s="1397"/>
      <c r="P330" s="1397"/>
      <c r="Q330" s="1397"/>
      <c r="R330" s="1397"/>
      <c r="T330" s="3" t="s">
        <v>87</v>
      </c>
      <c r="V330" s="3"/>
      <c r="W330" s="3"/>
      <c r="X330" s="3"/>
      <c r="Y330" s="3"/>
      <c r="AA330" s="1397"/>
      <c r="AB330" s="1397"/>
      <c r="AC330" s="1397"/>
      <c r="AD330" s="1397"/>
      <c r="AE330" s="1397"/>
      <c r="AF330" s="1397"/>
      <c r="AG330" s="1397"/>
      <c r="AH330" s="1397"/>
      <c r="AI330" s="1397"/>
      <c r="AJ330" s="1397"/>
      <c r="AK330" s="1397"/>
    </row>
    <row r="331" spans="2:37" ht="12.95" customHeight="1">
      <c r="B331" s="3" t="s">
        <v>88</v>
      </c>
      <c r="C331" s="3"/>
      <c r="D331" s="3"/>
      <c r="E331" s="3"/>
      <c r="F331" s="3"/>
      <c r="G331" s="3"/>
      <c r="H331" s="1469"/>
      <c r="I331" s="1469"/>
      <c r="J331" s="1469"/>
      <c r="K331" s="1469"/>
      <c r="L331" s="1469"/>
      <c r="M331" s="1469"/>
      <c r="N331" s="4" t="s">
        <v>205</v>
      </c>
      <c r="O331" s="4"/>
      <c r="P331" s="1463"/>
      <c r="Q331" s="1463"/>
      <c r="R331" s="1463"/>
      <c r="S331" s="3"/>
      <c r="T331" s="3" t="s">
        <v>88</v>
      </c>
      <c r="V331" s="3"/>
      <c r="W331" s="3"/>
      <c r="X331" s="3"/>
      <c r="Y331" s="3"/>
      <c r="AA331" s="1469"/>
      <c r="AB331" s="1469"/>
      <c r="AC331" s="1469"/>
      <c r="AD331" s="1469"/>
      <c r="AE331" s="1469"/>
      <c r="AF331" s="1469"/>
      <c r="AG331" s="4" t="s">
        <v>205</v>
      </c>
      <c r="AH331" s="4"/>
      <c r="AI331" s="1463"/>
      <c r="AJ331" s="1463"/>
      <c r="AK331" s="1463"/>
    </row>
    <row r="332" spans="2:37" ht="12.95" customHeight="1">
      <c r="B332" s="3" t="s">
        <v>89</v>
      </c>
      <c r="C332" s="3"/>
      <c r="D332" s="3"/>
      <c r="E332" s="3"/>
      <c r="F332" s="3"/>
      <c r="G332" s="3"/>
      <c r="H332" s="1505"/>
      <c r="I332" s="1505"/>
      <c r="J332" s="1505"/>
      <c r="K332" s="1505"/>
      <c r="L332" s="1505"/>
      <c r="M332" s="1505"/>
      <c r="N332" s="4"/>
      <c r="O332" s="4"/>
      <c r="P332" s="35"/>
      <c r="Q332" s="35"/>
      <c r="R332" s="35"/>
      <c r="S332" s="3"/>
      <c r="T332" s="3" t="s">
        <v>89</v>
      </c>
      <c r="V332" s="3"/>
      <c r="W332" s="3"/>
      <c r="X332" s="3"/>
      <c r="Y332" s="3"/>
      <c r="AA332" s="1505"/>
      <c r="AB332" s="1505"/>
      <c r="AC332" s="1505"/>
      <c r="AD332" s="1505"/>
      <c r="AE332" s="1505"/>
      <c r="AF332" s="1505"/>
      <c r="AG332" s="4"/>
      <c r="AH332" s="4"/>
      <c r="AI332" s="35"/>
      <c r="AJ332" s="35"/>
      <c r="AK332" s="35"/>
    </row>
    <row r="333" spans="2:37" ht="12.95" customHeight="1">
      <c r="B333" s="3" t="s">
        <v>76</v>
      </c>
      <c r="C333" s="3"/>
      <c r="D333" s="3"/>
      <c r="E333" s="3"/>
      <c r="F333" s="3"/>
      <c r="G333" s="3"/>
      <c r="H333" s="1397"/>
      <c r="I333" s="1397"/>
      <c r="J333" s="1397"/>
      <c r="K333" s="1397"/>
      <c r="L333" s="1397"/>
      <c r="M333" s="1397"/>
      <c r="N333" s="1393"/>
      <c r="O333" s="1393"/>
      <c r="P333" s="1393"/>
      <c r="Q333" s="1393"/>
      <c r="R333" s="1393"/>
      <c r="S333" s="3"/>
      <c r="T333" s="3" t="s">
        <v>76</v>
      </c>
      <c r="V333" s="3"/>
      <c r="W333" s="3"/>
      <c r="X333" s="3"/>
      <c r="Y333" s="3"/>
      <c r="AA333" s="1397"/>
      <c r="AB333" s="1397"/>
      <c r="AC333" s="1397"/>
      <c r="AD333" s="1397"/>
      <c r="AE333" s="1397"/>
      <c r="AF333" s="1397"/>
      <c r="AG333" s="1393"/>
      <c r="AH333" s="1393"/>
      <c r="AI333" s="1393"/>
      <c r="AJ333" s="1393"/>
      <c r="AK333" s="1393"/>
    </row>
    <row r="334" spans="2:37" ht="12.95" customHeight="1">
      <c r="B334" s="3"/>
      <c r="C334" s="3"/>
      <c r="D334" s="3"/>
      <c r="E334" s="3"/>
      <c r="F334" s="3"/>
      <c r="G334" s="3"/>
      <c r="P334" s="163"/>
      <c r="Q334" s="163"/>
      <c r="R334" s="163"/>
      <c r="S334" s="163"/>
      <c r="T334" s="163"/>
      <c r="U334" s="163"/>
      <c r="V334" s="4"/>
      <c r="W334" s="4"/>
      <c r="X334" s="35"/>
      <c r="Y334" s="35"/>
      <c r="Z334" s="35"/>
    </row>
    <row r="335" spans="2:37" ht="12.95" customHeight="1">
      <c r="B335" s="3" t="s">
        <v>328</v>
      </c>
      <c r="C335" s="3"/>
      <c r="D335" s="3"/>
      <c r="E335" s="3"/>
      <c r="F335" s="3"/>
      <c r="H335" s="1462" t="s">
        <v>2723</v>
      </c>
      <c r="I335" s="1393"/>
      <c r="J335" s="1393"/>
      <c r="K335" s="1393"/>
      <c r="L335" s="1393"/>
      <c r="M335" s="1393"/>
      <c r="N335" s="1393"/>
      <c r="O335" s="1393"/>
      <c r="P335" s="1393"/>
      <c r="Q335" s="1393"/>
      <c r="R335" s="1393"/>
      <c r="T335" s="204" t="s">
        <v>886</v>
      </c>
      <c r="V335" s="3"/>
      <c r="W335" s="3"/>
      <c r="X335" s="3"/>
      <c r="Y335" s="3"/>
      <c r="AA335" s="1393" t="s">
        <v>2666</v>
      </c>
      <c r="AB335" s="1393"/>
      <c r="AC335" s="1393"/>
      <c r="AD335" s="1393"/>
      <c r="AE335" s="1393"/>
      <c r="AF335" s="1393"/>
      <c r="AG335" s="1393"/>
      <c r="AH335" s="1393"/>
      <c r="AI335" s="1393"/>
      <c r="AJ335" s="1393"/>
      <c r="AK335" s="1393"/>
    </row>
    <row r="336" spans="2:37" ht="12.95" customHeight="1">
      <c r="B336" s="3" t="s">
        <v>471</v>
      </c>
      <c r="C336" s="3"/>
      <c r="D336" s="3"/>
      <c r="E336" s="3"/>
      <c r="F336" s="3"/>
      <c r="H336" s="1582" t="s">
        <v>2724</v>
      </c>
      <c r="I336" s="1397"/>
      <c r="J336" s="1397"/>
      <c r="K336" s="1397"/>
      <c r="L336" s="1397"/>
      <c r="M336" s="1397"/>
      <c r="N336" s="1397"/>
      <c r="O336" s="1397"/>
      <c r="P336" s="1397"/>
      <c r="Q336" s="1397"/>
      <c r="R336" s="1397"/>
      <c r="T336" s="3" t="s">
        <v>471</v>
      </c>
      <c r="V336" s="3"/>
      <c r="W336" s="3"/>
      <c r="X336" s="3"/>
      <c r="Y336" s="3"/>
      <c r="AA336" s="1397" t="s">
        <v>2667</v>
      </c>
      <c r="AB336" s="1397"/>
      <c r="AC336" s="1397"/>
      <c r="AD336" s="1397"/>
      <c r="AE336" s="1397"/>
      <c r="AF336" s="1397"/>
      <c r="AG336" s="1397"/>
      <c r="AH336" s="1397"/>
      <c r="AI336" s="1397"/>
      <c r="AJ336" s="1397"/>
      <c r="AK336" s="1397"/>
    </row>
    <row r="337" spans="1:66" ht="12.95" customHeight="1">
      <c r="B337" s="3" t="s">
        <v>75</v>
      </c>
      <c r="C337" s="3"/>
      <c r="D337" s="3"/>
      <c r="E337" s="3"/>
      <c r="F337" s="3"/>
      <c r="H337" s="1582" t="s">
        <v>2725</v>
      </c>
      <c r="I337" s="1397"/>
      <c r="J337" s="1397"/>
      <c r="K337" s="1397"/>
      <c r="L337" s="1397"/>
      <c r="M337" s="1397"/>
      <c r="N337" s="1397"/>
      <c r="O337" s="1397"/>
      <c r="P337" s="1397"/>
      <c r="Q337" s="1397"/>
      <c r="R337" s="1397"/>
      <c r="T337" s="3" t="s">
        <v>75</v>
      </c>
      <c r="V337" s="3"/>
      <c r="W337" s="3"/>
      <c r="X337" s="3"/>
      <c r="Y337" s="3"/>
      <c r="AA337" s="1397" t="s">
        <v>2668</v>
      </c>
      <c r="AB337" s="1397"/>
      <c r="AC337" s="1397"/>
      <c r="AD337" s="1397"/>
      <c r="AE337" s="1397"/>
      <c r="AF337" s="1397"/>
      <c r="AG337" s="1397"/>
      <c r="AH337" s="1397"/>
      <c r="AI337" s="1397"/>
      <c r="AJ337" s="1397"/>
      <c r="AK337" s="1397"/>
    </row>
    <row r="338" spans="1:66" ht="12.95" customHeight="1">
      <c r="B338" s="3" t="s">
        <v>87</v>
      </c>
      <c r="C338" s="3"/>
      <c r="D338" s="3"/>
      <c r="E338" s="3"/>
      <c r="F338" s="3"/>
      <c r="G338" s="3"/>
      <c r="H338" s="1582" t="s">
        <v>2742</v>
      </c>
      <c r="I338" s="1397"/>
      <c r="J338" s="1397"/>
      <c r="K338" s="1397"/>
      <c r="L338" s="1397"/>
      <c r="M338" s="1397"/>
      <c r="N338" s="1397"/>
      <c r="O338" s="1397"/>
      <c r="P338" s="1397"/>
      <c r="Q338" s="1397"/>
      <c r="R338" s="1397"/>
      <c r="T338" s="3" t="s">
        <v>87</v>
      </c>
      <c r="V338" s="3"/>
      <c r="W338" s="3"/>
      <c r="X338" s="3"/>
      <c r="Y338" s="3"/>
      <c r="AA338" s="1397" t="s">
        <v>2669</v>
      </c>
      <c r="AB338" s="1397"/>
      <c r="AC338" s="1397"/>
      <c r="AD338" s="1397"/>
      <c r="AE338" s="1397"/>
      <c r="AF338" s="1397"/>
      <c r="AG338" s="1397"/>
      <c r="AH338" s="1397"/>
      <c r="AI338" s="1397"/>
      <c r="AJ338" s="1397"/>
      <c r="AK338" s="1397"/>
    </row>
    <row r="339" spans="1:66" ht="12.95" customHeight="1">
      <c r="B339" s="3" t="s">
        <v>88</v>
      </c>
      <c r="C339" s="3"/>
      <c r="D339" s="3"/>
      <c r="E339" s="3"/>
      <c r="F339" s="3"/>
      <c r="G339" s="3"/>
      <c r="H339" s="1468" t="s">
        <v>2743</v>
      </c>
      <c r="I339" s="1469"/>
      <c r="J339" s="1469"/>
      <c r="K339" s="1469"/>
      <c r="L339" s="1469"/>
      <c r="M339" s="1469"/>
      <c r="N339" s="4" t="s">
        <v>205</v>
      </c>
      <c r="O339" s="4"/>
      <c r="P339" s="1463"/>
      <c r="Q339" s="1463"/>
      <c r="R339" s="1463"/>
      <c r="S339" s="3"/>
      <c r="T339" s="3" t="s">
        <v>88</v>
      </c>
      <c r="V339" s="3"/>
      <c r="W339" s="3"/>
      <c r="X339" s="3"/>
      <c r="Y339" s="3"/>
      <c r="AA339" s="1469" t="s">
        <v>2670</v>
      </c>
      <c r="AB339" s="1469"/>
      <c r="AC339" s="1469"/>
      <c r="AD339" s="1469"/>
      <c r="AE339" s="1469"/>
      <c r="AF339" s="1469"/>
      <c r="AG339" s="4" t="s">
        <v>205</v>
      </c>
      <c r="AH339" s="4"/>
      <c r="AI339" s="1463"/>
      <c r="AJ339" s="1463"/>
      <c r="AK339" s="1463"/>
    </row>
    <row r="340" spans="1:66" ht="12.95" customHeight="1">
      <c r="B340" s="3" t="s">
        <v>89</v>
      </c>
      <c r="C340" s="3"/>
      <c r="D340" s="3"/>
      <c r="E340" s="3"/>
      <c r="F340" s="3"/>
      <c r="G340" s="3"/>
      <c r="H340" s="1505"/>
      <c r="I340" s="1505"/>
      <c r="J340" s="1505"/>
      <c r="K340" s="1505"/>
      <c r="L340" s="1505"/>
      <c r="M340" s="1505"/>
      <c r="N340" s="4"/>
      <c r="O340" s="4"/>
      <c r="P340" s="35"/>
      <c r="Q340" s="35"/>
      <c r="R340" s="35"/>
      <c r="S340" s="3"/>
      <c r="T340" s="3" t="s">
        <v>89</v>
      </c>
      <c r="V340" s="3"/>
      <c r="W340" s="3"/>
      <c r="X340" s="3"/>
      <c r="Y340" s="3"/>
      <c r="AA340" s="1505"/>
      <c r="AB340" s="1505"/>
      <c r="AC340" s="1505"/>
      <c r="AD340" s="1505"/>
      <c r="AE340" s="1505"/>
      <c r="AF340" s="1505"/>
      <c r="AG340" s="4"/>
      <c r="AH340" s="4"/>
      <c r="AI340" s="35"/>
      <c r="AJ340" s="35"/>
      <c r="AK340" s="35"/>
    </row>
    <row r="341" spans="1:66" ht="12.95" customHeight="1">
      <c r="B341" s="3" t="s">
        <v>76</v>
      </c>
      <c r="C341" s="3"/>
      <c r="D341" s="3"/>
      <c r="E341" s="3"/>
      <c r="F341" s="3"/>
      <c r="G341" s="3"/>
      <c r="H341" s="1582" t="s">
        <v>2744</v>
      </c>
      <c r="I341" s="1397"/>
      <c r="J341" s="1397"/>
      <c r="K341" s="1397"/>
      <c r="L341" s="1397"/>
      <c r="M341" s="1397"/>
      <c r="N341" s="1393"/>
      <c r="O341" s="1393"/>
      <c r="P341" s="1393"/>
      <c r="Q341" s="1393"/>
      <c r="R341" s="1393"/>
      <c r="S341" s="3"/>
      <c r="T341" s="3" t="s">
        <v>76</v>
      </c>
      <c r="V341" s="3"/>
      <c r="W341" s="3"/>
      <c r="X341" s="3"/>
      <c r="Y341" s="3"/>
      <c r="AA341" s="1397" t="s">
        <v>2671</v>
      </c>
      <c r="AB341" s="1397"/>
      <c r="AC341" s="1397"/>
      <c r="AD341" s="1397"/>
      <c r="AE341" s="1397"/>
      <c r="AF341" s="1397"/>
      <c r="AG341" s="1393"/>
      <c r="AH341" s="1393"/>
      <c r="AI341" s="1393"/>
      <c r="AJ341" s="1393"/>
      <c r="AK341" s="1393"/>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591</v>
      </c>
    </row>
    <row r="343" spans="1:66" ht="12.95" customHeight="1">
      <c r="B343" s="3"/>
      <c r="C343" s="4"/>
      <c r="D343" s="4"/>
      <c r="E343" s="4"/>
      <c r="F343" s="4"/>
      <c r="I343" s="204" t="s">
        <v>887</v>
      </c>
      <c r="P343" s="1393" t="s">
        <v>591</v>
      </c>
      <c r="Q343" s="1393"/>
      <c r="R343" s="1393"/>
      <c r="S343" s="1393"/>
      <c r="T343" s="1393"/>
      <c r="U343" s="1393"/>
      <c r="V343" s="1393"/>
      <c r="W343" s="1393"/>
      <c r="X343" s="1393"/>
      <c r="Y343" s="1393"/>
      <c r="Z343" s="1393"/>
      <c r="AA343" s="1393"/>
      <c r="AB343" s="1393"/>
      <c r="AC343" s="1393"/>
      <c r="AD343" s="1393"/>
      <c r="AE343" s="1393"/>
      <c r="BN343" t="s">
        <v>669</v>
      </c>
    </row>
    <row r="344" spans="1:66" ht="12.95" customHeight="1">
      <c r="B344" s="4"/>
      <c r="C344" s="4"/>
      <c r="D344" s="4"/>
      <c r="E344" s="4"/>
      <c r="F344" s="4"/>
      <c r="I344" s="4" t="s">
        <v>471</v>
      </c>
      <c r="P344" s="1397"/>
      <c r="Q344" s="1397"/>
      <c r="R344" s="1397"/>
      <c r="S344" s="1397"/>
      <c r="T344" s="1397"/>
      <c r="U344" s="1397"/>
      <c r="V344" s="1397"/>
      <c r="W344" s="1397"/>
      <c r="X344" s="1397"/>
      <c r="Y344" s="1397"/>
      <c r="Z344" s="1397"/>
      <c r="AA344" s="1397"/>
      <c r="AB344" s="1397"/>
      <c r="AC344" s="1397"/>
      <c r="AD344" s="1397"/>
      <c r="AE344" s="1397"/>
      <c r="BN344" t="s">
        <v>545</v>
      </c>
    </row>
    <row r="345" spans="1:66" ht="12.95" customHeight="1">
      <c r="B345" s="4"/>
      <c r="C345" s="4"/>
      <c r="D345" s="4"/>
      <c r="E345" s="4"/>
      <c r="F345" s="4"/>
      <c r="I345" s="4" t="s">
        <v>75</v>
      </c>
      <c r="P345" s="1397"/>
      <c r="Q345" s="1397"/>
      <c r="R345" s="1397"/>
      <c r="S345" s="1397"/>
      <c r="T345" s="1397"/>
      <c r="U345" s="1397"/>
      <c r="V345" s="1397"/>
      <c r="W345" s="1397"/>
      <c r="X345" s="1397"/>
      <c r="Y345" s="1397"/>
      <c r="Z345" s="1397"/>
      <c r="AA345" s="1397"/>
      <c r="AB345" s="1397"/>
      <c r="AC345" s="1397"/>
      <c r="AD345" s="1397"/>
      <c r="AE345" s="1397"/>
    </row>
    <row r="346" spans="1:66" ht="12.95" customHeight="1">
      <c r="B346" s="4"/>
      <c r="C346" s="4"/>
      <c r="D346" s="4"/>
      <c r="E346" s="4"/>
      <c r="F346" s="4"/>
      <c r="G346" s="4"/>
      <c r="I346" s="4" t="s">
        <v>87</v>
      </c>
      <c r="P346" s="1397"/>
      <c r="Q346" s="1397"/>
      <c r="R346" s="1397"/>
      <c r="S346" s="1397"/>
      <c r="T346" s="1397"/>
      <c r="U346" s="1397"/>
      <c r="V346" s="1397"/>
      <c r="W346" s="1397"/>
      <c r="X346" s="1397"/>
      <c r="Y346" s="1397"/>
      <c r="Z346" s="1397"/>
      <c r="AA346" s="1397"/>
      <c r="AB346" s="1397"/>
      <c r="AC346" s="1397"/>
      <c r="AD346" s="1397"/>
      <c r="AE346" s="1397"/>
    </row>
    <row r="347" spans="1:66" ht="12.95" customHeight="1">
      <c r="B347" s="4"/>
      <c r="C347" s="4"/>
      <c r="D347" s="4"/>
      <c r="E347" s="4"/>
      <c r="F347" s="4"/>
      <c r="G347" s="4"/>
      <c r="H347" s="302"/>
      <c r="I347" s="4" t="s">
        <v>88</v>
      </c>
      <c r="P347" s="1505"/>
      <c r="Q347" s="1505"/>
      <c r="R347" s="1505"/>
      <c r="S347" s="1505"/>
      <c r="T347" s="1505"/>
      <c r="U347" s="1505"/>
      <c r="V347" s="1505"/>
      <c r="W347" s="1505"/>
      <c r="X347" s="1505"/>
      <c r="Y347" s="1505"/>
      <c r="Z347" s="1505"/>
      <c r="AA347" s="4" t="s">
        <v>205</v>
      </c>
      <c r="AB347" s="4"/>
      <c r="AC347" s="1483"/>
      <c r="AD347" s="1483"/>
      <c r="AE347" s="1483"/>
      <c r="AF347" s="302"/>
      <c r="AG347" s="4"/>
      <c r="AH347" s="4"/>
      <c r="AI347" s="4"/>
      <c r="AJ347" s="4"/>
      <c r="AK347" s="4"/>
    </row>
    <row r="348" spans="1:66" ht="12.95" customHeight="1">
      <c r="B348" s="4"/>
      <c r="C348" s="4"/>
      <c r="D348" s="4"/>
      <c r="E348" s="4"/>
      <c r="F348" s="4"/>
      <c r="G348" s="4"/>
      <c r="H348" s="302"/>
      <c r="I348" s="4" t="s">
        <v>89</v>
      </c>
      <c r="P348" s="1505"/>
      <c r="Q348" s="1505"/>
      <c r="R348" s="1505"/>
      <c r="S348" s="1505"/>
      <c r="T348" s="1505"/>
      <c r="U348" s="1505"/>
      <c r="V348" s="1505"/>
      <c r="W348" s="1505"/>
      <c r="X348" s="1505"/>
      <c r="Y348" s="1505"/>
      <c r="Z348" s="1505"/>
      <c r="AF348" s="302"/>
      <c r="AG348" s="4"/>
      <c r="AH348" s="4"/>
      <c r="AI348" s="35"/>
      <c r="AJ348" s="35"/>
      <c r="AK348" s="35"/>
    </row>
    <row r="349" spans="1:66" ht="12.95" customHeight="1">
      <c r="B349" s="4"/>
      <c r="C349" s="4"/>
      <c r="D349" s="4"/>
      <c r="E349" s="4"/>
      <c r="F349" s="4"/>
      <c r="G349" s="4"/>
      <c r="I349" s="4" t="s">
        <v>76</v>
      </c>
      <c r="P349" s="1393"/>
      <c r="Q349" s="1393"/>
      <c r="R349" s="1393"/>
      <c r="S349" s="1393"/>
      <c r="T349" s="1393"/>
      <c r="U349" s="1393"/>
      <c r="V349" s="1393"/>
      <c r="W349" s="1393"/>
      <c r="X349" s="1393"/>
      <c r="Y349" s="1393"/>
      <c r="Z349" s="1393"/>
      <c r="AA349" s="1393"/>
      <c r="AB349" s="1393"/>
      <c r="AC349" s="1393"/>
      <c r="AD349" s="1393"/>
      <c r="AE349" s="1393"/>
    </row>
    <row r="350" spans="1:66" ht="12.95" customHeight="1">
      <c r="T350" s="8"/>
      <c r="U350" s="8"/>
      <c r="V350" s="8"/>
      <c r="W350" s="8"/>
      <c r="X350" s="8"/>
      <c r="Y350" s="8"/>
      <c r="Z350" s="8"/>
      <c r="AU350" s="95"/>
      <c r="AV350" s="95"/>
      <c r="AW350" s="95"/>
      <c r="AX350" s="95"/>
      <c r="AY350" s="95"/>
    </row>
    <row r="351" spans="1:66" ht="12.95" customHeight="1">
      <c r="A351" s="1365" t="s">
        <v>542</v>
      </c>
      <c r="B351" s="1365"/>
      <c r="C351" s="1365"/>
      <c r="D351" s="1365"/>
      <c r="E351" s="1365"/>
      <c r="F351" s="1365"/>
      <c r="G351" s="1365"/>
      <c r="H351" s="1365"/>
      <c r="I351" s="1365"/>
      <c r="J351" s="1365"/>
      <c r="K351" s="1365"/>
      <c r="L351" s="1365"/>
      <c r="M351" s="1365"/>
      <c r="N351" s="1365"/>
      <c r="O351" s="1365"/>
      <c r="P351" s="1365"/>
      <c r="Q351" s="1365"/>
      <c r="R351" s="1365"/>
      <c r="S351" s="1365"/>
      <c r="T351" s="1365"/>
      <c r="U351" s="1365"/>
      <c r="V351" s="1365"/>
      <c r="W351" s="1365"/>
      <c r="X351" s="1365"/>
      <c r="Y351" s="1365"/>
      <c r="Z351" s="1365"/>
      <c r="AA351" s="1365"/>
      <c r="AB351" s="1365"/>
      <c r="AC351" s="1365"/>
      <c r="AD351" s="1365"/>
      <c r="AE351" s="1365"/>
      <c r="AF351" s="1365"/>
      <c r="AG351" s="1365"/>
      <c r="AH351" s="1365"/>
      <c r="AI351" s="1365"/>
      <c r="AJ351" s="1365"/>
      <c r="AK351" s="1365"/>
      <c r="AL351" s="1365"/>
      <c r="AM351" s="1365"/>
      <c r="AN351" s="1365"/>
      <c r="AO351" s="1365"/>
      <c r="AP351" s="1365"/>
      <c r="AQ351" s="1365"/>
      <c r="AR351" s="1365"/>
      <c r="AS351" s="1365"/>
      <c r="AT351" s="1365"/>
      <c r="AU351" s="95"/>
      <c r="AV351" s="95"/>
      <c r="AW351" s="95"/>
      <c r="AX351" s="95"/>
      <c r="AY351" s="95"/>
    </row>
    <row r="352" spans="1:66" ht="12.95" customHeight="1">
      <c r="A352" s="1365"/>
      <c r="B352" s="1365"/>
      <c r="C352" s="1365"/>
      <c r="D352" s="1365"/>
      <c r="E352" s="1365"/>
      <c r="F352" s="1365"/>
      <c r="G352" s="1365"/>
      <c r="H352" s="1365"/>
      <c r="I352" s="1365"/>
      <c r="J352" s="1365"/>
      <c r="K352" s="1365"/>
      <c r="L352" s="1365"/>
      <c r="M352" s="1365"/>
      <c r="N352" s="1365"/>
      <c r="O352" s="1365"/>
      <c r="P352" s="1365"/>
      <c r="Q352" s="1365"/>
      <c r="R352" s="1365"/>
      <c r="S352" s="1365"/>
      <c r="T352" s="1365"/>
      <c r="U352" s="1365"/>
      <c r="V352" s="1365"/>
      <c r="W352" s="1365"/>
      <c r="X352" s="1365"/>
      <c r="Y352" s="1365"/>
      <c r="Z352" s="1365"/>
      <c r="AA352" s="1365"/>
      <c r="AB352" s="1365"/>
      <c r="AC352" s="1365"/>
      <c r="AD352" s="1365"/>
      <c r="AE352" s="1365"/>
      <c r="AF352" s="1365"/>
      <c r="AG352" s="1365"/>
      <c r="AH352" s="1365"/>
      <c r="AI352" s="1365"/>
      <c r="AJ352" s="1365"/>
      <c r="AK352" s="1365"/>
      <c r="AL352" s="1365"/>
      <c r="AM352" s="1365"/>
      <c r="AN352" s="1365"/>
      <c r="AO352" s="1365"/>
      <c r="AP352" s="1365"/>
      <c r="AQ352" s="1365"/>
      <c r="AR352" s="1365"/>
      <c r="AS352" s="1365"/>
      <c r="AT352" s="1365"/>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318</v>
      </c>
      <c r="B354" s="2"/>
      <c r="C354" s="2" t="s">
        <v>782</v>
      </c>
    </row>
    <row r="355" spans="1:46" ht="12.95" customHeight="1">
      <c r="D355" s="3" t="s">
        <v>2098</v>
      </c>
      <c r="M355" s="1379" t="s">
        <v>545</v>
      </c>
      <c r="N355" s="1379"/>
      <c r="P355" t="s">
        <v>1649</v>
      </c>
      <c r="AJ355" s="1379" t="s">
        <v>545</v>
      </c>
      <c r="AK355" s="1379"/>
    </row>
    <row r="356" spans="1:46" ht="12.95" customHeight="1">
      <c r="D356" s="3" t="s">
        <v>1638</v>
      </c>
      <c r="M356" s="1379" t="s">
        <v>591</v>
      </c>
      <c r="N356" s="1379"/>
      <c r="P356" s="3" t="s">
        <v>1718</v>
      </c>
      <c r="AJ356" s="1500">
        <v>0</v>
      </c>
      <c r="AK356" s="1500"/>
    </row>
    <row r="357" spans="1:46" ht="12.95" customHeight="1">
      <c r="D357" s="3" t="s">
        <v>704</v>
      </c>
      <c r="M357" s="1379" t="s">
        <v>591</v>
      </c>
      <c r="N357" s="1379"/>
      <c r="P357" t="s">
        <v>1648</v>
      </c>
      <c r="AJ357" s="1379" t="s">
        <v>669</v>
      </c>
      <c r="AK357" s="1379"/>
    </row>
    <row r="358" spans="1:46" ht="12.95" customHeight="1">
      <c r="D358" s="3" t="s">
        <v>705</v>
      </c>
      <c r="M358" s="1379" t="s">
        <v>591</v>
      </c>
      <c r="N358" s="1379"/>
      <c r="Q358" s="4"/>
    </row>
    <row r="359" spans="1:46" ht="12.95" customHeight="1">
      <c r="Q359" s="4"/>
    </row>
    <row r="360" spans="1:46" ht="12.95" customHeight="1">
      <c r="Q360" s="4"/>
    </row>
    <row r="361" spans="1:46" ht="12.95" customHeight="1">
      <c r="A361" s="2" t="s">
        <v>576</v>
      </c>
      <c r="B361" s="2"/>
      <c r="C361" s="2" t="s">
        <v>552</v>
      </c>
      <c r="D361" s="2"/>
    </row>
    <row r="362" spans="1:46" ht="12.95"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185</v>
      </c>
      <c r="E363" s="40"/>
      <c r="F363" s="40"/>
      <c r="G363" s="40"/>
      <c r="H363" s="40"/>
      <c r="I363" s="40"/>
      <c r="J363" s="40"/>
      <c r="K363" s="40"/>
      <c r="L363" s="40"/>
      <c r="M363" s="40"/>
      <c r="N363" s="1379" t="s">
        <v>591</v>
      </c>
      <c r="O363" s="1379"/>
      <c r="P363" s="40"/>
      <c r="Q363" s="40"/>
      <c r="R363" s="40"/>
      <c r="S363" s="40"/>
      <c r="T363" s="40"/>
      <c r="U363" s="40"/>
      <c r="V363" s="40"/>
      <c r="W363" s="40"/>
      <c r="X363" s="40"/>
      <c r="Y363" s="40"/>
      <c r="Z363" s="40"/>
      <c r="AC363" s="40"/>
      <c r="AD363" s="40"/>
      <c r="AE363" s="40"/>
    </row>
    <row r="364" spans="1:46" ht="12.95" customHeight="1">
      <c r="E364" t="s">
        <v>369</v>
      </c>
      <c r="Y364" s="1379" t="s">
        <v>591</v>
      </c>
      <c r="Z364" s="1379"/>
    </row>
    <row r="365" spans="1:46" ht="12.95" customHeight="1">
      <c r="D365" s="4" t="s">
        <v>977</v>
      </c>
      <c r="Q365" s="1393"/>
      <c r="R365" s="1393"/>
      <c r="S365" s="1393"/>
      <c r="T365" s="1393"/>
      <c r="U365" s="1393"/>
      <c r="V365" s="1393"/>
      <c r="W365" s="1393"/>
      <c r="X365" s="1393"/>
      <c r="Y365" s="1393"/>
      <c r="Z365" s="1393"/>
      <c r="AA365" s="1393"/>
      <c r="AB365" s="1393"/>
      <c r="AC365" s="1393"/>
      <c r="AD365" s="1393"/>
      <c r="AE365" s="1393"/>
      <c r="AF365" s="1393"/>
      <c r="AG365" s="1393"/>
    </row>
    <row r="366" spans="1:46" ht="12.95" customHeight="1">
      <c r="D366" t="s">
        <v>186</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187</v>
      </c>
      <c r="E367" s="40"/>
      <c r="F367" s="40"/>
      <c r="G367" s="40"/>
      <c r="H367" s="40"/>
      <c r="I367" s="40"/>
      <c r="J367" s="1379" t="s">
        <v>591</v>
      </c>
      <c r="K367" s="1379"/>
      <c r="L367" s="40"/>
      <c r="M367" s="40"/>
      <c r="N367" s="40"/>
      <c r="O367" s="40"/>
      <c r="P367" s="40"/>
      <c r="Q367" s="40"/>
      <c r="R367" s="40"/>
      <c r="S367" s="40"/>
      <c r="T367" s="40"/>
      <c r="U367" s="40"/>
      <c r="V367" s="40"/>
      <c r="W367" s="40"/>
      <c r="X367" s="40"/>
      <c r="Y367" s="40"/>
      <c r="Z367" s="40"/>
      <c r="AC367" s="40"/>
      <c r="AD367" s="40"/>
      <c r="AE367" s="40"/>
    </row>
    <row r="368" spans="1:46" ht="12.95" customHeight="1">
      <c r="E368" s="1461" t="s">
        <v>706</v>
      </c>
      <c r="F368" s="1461"/>
      <c r="G368" s="1461"/>
      <c r="H368" s="1461"/>
      <c r="I368" s="1461"/>
      <c r="J368" s="1461"/>
      <c r="K368" s="1461"/>
      <c r="L368" s="1461"/>
      <c r="M368" s="1461"/>
      <c r="N368" s="1461"/>
      <c r="O368" s="1461"/>
      <c r="P368" s="1461"/>
      <c r="Q368" s="1461"/>
      <c r="R368" s="1461"/>
      <c r="S368" s="1461"/>
      <c r="T368" s="1461"/>
      <c r="U368" s="1461"/>
      <c r="V368" s="1461"/>
      <c r="W368" s="1461"/>
      <c r="X368" s="1461"/>
      <c r="Y368" s="1461"/>
      <c r="Z368" s="1461"/>
      <c r="AA368" s="1461"/>
      <c r="AB368" s="1461"/>
      <c r="AC368" s="1461"/>
      <c r="AD368" s="1461"/>
      <c r="AE368" s="1461"/>
      <c r="AF368" s="1461"/>
      <c r="AG368" s="1461"/>
      <c r="AH368" s="1461"/>
    </row>
    <row r="369" spans="1:34" ht="12.95" customHeight="1">
      <c r="E369" s="1461"/>
      <c r="F369" s="1461"/>
      <c r="G369" s="1461"/>
      <c r="H369" s="1461"/>
      <c r="I369" s="1461"/>
      <c r="J369" s="1461"/>
      <c r="K369" s="1461"/>
      <c r="L369" s="1461"/>
      <c r="M369" s="1461"/>
      <c r="N369" s="1461"/>
      <c r="O369" s="1461"/>
      <c r="P369" s="1461"/>
      <c r="Q369" s="1461"/>
      <c r="R369" s="1461"/>
      <c r="S369" s="1461"/>
      <c r="T369" s="1461"/>
      <c r="U369" s="1461"/>
      <c r="V369" s="1461"/>
      <c r="W369" s="1461"/>
      <c r="X369" s="1461"/>
      <c r="Y369" s="1461"/>
      <c r="Z369" s="1461"/>
      <c r="AA369" s="1461"/>
      <c r="AB369" s="1461"/>
      <c r="AC369" s="1461"/>
      <c r="AD369" s="1461"/>
      <c r="AE369" s="1461"/>
      <c r="AF369" s="1461"/>
      <c r="AG369" s="1461"/>
      <c r="AH369" s="1461"/>
    </row>
    <row r="370" spans="1:34" ht="12.95" customHeight="1">
      <c r="E370" s="4" t="s">
        <v>448</v>
      </c>
      <c r="F370" s="4"/>
      <c r="G370" s="4"/>
      <c r="H370" s="4"/>
      <c r="I370" s="4"/>
      <c r="J370" s="4"/>
      <c r="K370" s="4"/>
      <c r="L370" s="4"/>
      <c r="N370" s="1700"/>
      <c r="O370" s="1700"/>
      <c r="P370" s="1700"/>
      <c r="Q370" s="1700"/>
      <c r="R370" s="4"/>
      <c r="U370" s="4" t="s">
        <v>449</v>
      </c>
      <c r="V370" s="4"/>
      <c r="W370" s="4"/>
      <c r="X370" s="4"/>
      <c r="Y370" s="4"/>
      <c r="Z370" s="4"/>
      <c r="AA370" s="4"/>
      <c r="AB370" s="4"/>
      <c r="AC370" s="1700"/>
      <c r="AD370" s="1700"/>
      <c r="AE370" s="1700"/>
      <c r="AF370" s="1700"/>
    </row>
    <row r="371" spans="1:34" ht="12.95" customHeight="1">
      <c r="E371" s="4" t="s">
        <v>450</v>
      </c>
      <c r="F371" s="4"/>
      <c r="G371" s="4"/>
      <c r="H371" s="4"/>
      <c r="I371" s="4"/>
      <c r="J371" s="4"/>
      <c r="K371" s="4"/>
      <c r="L371" s="4"/>
      <c r="N371" s="1700"/>
      <c r="O371" s="1700"/>
      <c r="P371" s="1700"/>
      <c r="Q371" s="1700"/>
      <c r="R371" s="4"/>
      <c r="U371" s="4" t="s">
        <v>0</v>
      </c>
      <c r="V371" s="4"/>
      <c r="W371" s="4"/>
      <c r="X371" s="4"/>
      <c r="Y371" s="4"/>
      <c r="Z371" s="4"/>
      <c r="AA371" s="4"/>
      <c r="AB371" s="4"/>
      <c r="AC371" s="1700"/>
      <c r="AD371" s="1700"/>
      <c r="AE371" s="1700"/>
      <c r="AF371" s="1700"/>
    </row>
    <row r="372" spans="1:34" ht="12.95" customHeight="1">
      <c r="E372" s="4" t="s">
        <v>1</v>
      </c>
      <c r="F372" s="4"/>
      <c r="G372" s="4"/>
      <c r="H372" s="4"/>
      <c r="I372" s="4"/>
      <c r="J372" s="4"/>
      <c r="K372" s="4"/>
      <c r="L372" s="4"/>
      <c r="N372" s="1700"/>
      <c r="O372" s="1700"/>
      <c r="P372" s="1700"/>
      <c r="Q372" s="1700"/>
      <c r="R372" s="4"/>
      <c r="V372" s="4"/>
      <c r="W372" s="4"/>
      <c r="X372" s="4"/>
      <c r="Y372" s="4"/>
      <c r="Z372" s="4"/>
      <c r="AA372" s="4"/>
      <c r="AB372" s="4"/>
    </row>
    <row r="373" spans="1:34" ht="12.95" customHeight="1">
      <c r="E373" s="4" t="s">
        <v>2</v>
      </c>
      <c r="F373" s="4"/>
      <c r="G373" s="4"/>
      <c r="H373" s="4"/>
      <c r="I373" s="4"/>
      <c r="J373" s="4"/>
      <c r="K373" s="4"/>
      <c r="L373" s="4"/>
      <c r="N373" s="1807"/>
      <c r="O373" s="1807"/>
      <c r="P373" s="1807"/>
      <c r="Q373" s="1807"/>
      <c r="R373" s="1807"/>
      <c r="S373" s="1807"/>
      <c r="T373" s="1807"/>
      <c r="U373" s="1807"/>
      <c r="V373" s="1807"/>
      <c r="W373" s="1807"/>
      <c r="X373" s="1807"/>
      <c r="Y373" s="1807"/>
      <c r="Z373" s="1807"/>
      <c r="AA373" s="1807"/>
      <c r="AB373" s="1807"/>
      <c r="AC373" s="1807"/>
      <c r="AD373" s="1807"/>
      <c r="AE373" s="1807"/>
      <c r="AF373" s="1807"/>
    </row>
    <row r="374" spans="1:34" ht="12.95" customHeight="1">
      <c r="E374" s="4"/>
      <c r="F374" s="4"/>
      <c r="G374" s="4"/>
      <c r="H374" s="4"/>
      <c r="I374" s="4"/>
      <c r="J374" s="4"/>
      <c r="K374" s="4"/>
      <c r="L374" s="4"/>
      <c r="N374" s="1808"/>
      <c r="O374" s="1808"/>
      <c r="P374" s="1808"/>
      <c r="Q374" s="1808"/>
      <c r="R374" s="1808"/>
      <c r="S374" s="1808"/>
      <c r="T374" s="1808"/>
      <c r="U374" s="1808"/>
      <c r="V374" s="1808"/>
      <c r="W374" s="1808"/>
      <c r="X374" s="1808"/>
      <c r="Y374" s="1808"/>
      <c r="Z374" s="1808"/>
      <c r="AA374" s="1808"/>
      <c r="AB374" s="1808"/>
      <c r="AC374" s="1808"/>
      <c r="AD374" s="1808"/>
      <c r="AE374" s="1808"/>
      <c r="AF374" s="1808"/>
    </row>
    <row r="375" spans="1:34" ht="12.95" customHeight="1">
      <c r="C375" s="512"/>
      <c r="E375" s="4"/>
      <c r="F375" s="4"/>
      <c r="G375" s="4"/>
      <c r="H375" s="4"/>
      <c r="I375" s="4"/>
      <c r="J375" s="4"/>
      <c r="K375" s="4"/>
      <c r="L375" s="4"/>
    </row>
    <row r="376" spans="1:34" ht="12.95" customHeight="1">
      <c r="D376" s="2" t="s">
        <v>974</v>
      </c>
      <c r="E376" s="2"/>
      <c r="F376" s="4"/>
      <c r="G376" s="4"/>
      <c r="H376" s="4"/>
      <c r="I376" s="4"/>
      <c r="J376" s="4"/>
      <c r="K376" s="4"/>
      <c r="L376" s="4"/>
    </row>
    <row r="377" spans="1:34" ht="12.95" customHeight="1">
      <c r="E377" s="4" t="s">
        <v>2084</v>
      </c>
      <c r="F377" s="4"/>
      <c r="G377" s="4"/>
      <c r="H377" s="4"/>
      <c r="I377" s="4"/>
      <c r="J377" s="4"/>
      <c r="K377" s="4"/>
      <c r="L377" s="4"/>
      <c r="N377" t="s">
        <v>2079</v>
      </c>
      <c r="R377" s="27" t="s">
        <v>304</v>
      </c>
      <c r="S377" s="1809"/>
      <c r="T377" s="1809"/>
      <c r="U377" s="1" t="s">
        <v>305</v>
      </c>
      <c r="V377" s="1809"/>
      <c r="W377" s="1809"/>
      <c r="Y377" t="s">
        <v>2079</v>
      </c>
      <c r="AC377" s="27" t="s">
        <v>304</v>
      </c>
      <c r="AD377" s="1809"/>
      <c r="AE377" s="1809"/>
      <c r="AF377" s="1" t="s">
        <v>305</v>
      </c>
      <c r="AG377" s="1809"/>
      <c r="AH377" s="1809"/>
    </row>
    <row r="378" spans="1:34" ht="12.95" customHeight="1">
      <c r="E378" s="4" t="s">
        <v>986</v>
      </c>
      <c r="F378" s="4"/>
      <c r="G378" s="4"/>
      <c r="H378" s="4"/>
      <c r="I378" s="4"/>
      <c r="J378" s="4"/>
      <c r="K378" s="4"/>
      <c r="L378" s="4"/>
      <c r="N378" s="1809"/>
      <c r="O378" s="1809"/>
      <c r="P378" s="1809"/>
    </row>
    <row r="379" spans="1:34" ht="12.95" customHeight="1">
      <c r="E379" s="204" t="s">
        <v>2085</v>
      </c>
      <c r="F379" s="4"/>
      <c r="G379" s="4"/>
      <c r="H379" s="4"/>
      <c r="I379" s="4"/>
      <c r="J379" s="4"/>
      <c r="K379" s="4"/>
      <c r="L379" s="4"/>
      <c r="AG379" s="1802" t="s">
        <v>591</v>
      </c>
      <c r="AH379" s="1802"/>
    </row>
    <row r="380" spans="1:34" ht="12.95" customHeight="1">
      <c r="E380" s="4"/>
      <c r="F380" s="4"/>
      <c r="G380" s="4" t="s">
        <v>2086</v>
      </c>
      <c r="H380" s="4"/>
      <c r="I380" s="4"/>
      <c r="J380" s="4"/>
      <c r="K380" s="4"/>
      <c r="L380" s="4"/>
      <c r="AG380" s="1802" t="s">
        <v>591</v>
      </c>
      <c r="AH380" s="1802"/>
    </row>
    <row r="381" spans="1:34" ht="12.95" customHeight="1">
      <c r="E381" s="4"/>
      <c r="F381" s="4"/>
      <c r="G381" s="320" t="s">
        <v>987</v>
      </c>
      <c r="H381" s="4"/>
      <c r="I381" s="4"/>
      <c r="J381" s="4"/>
      <c r="K381" s="4"/>
      <c r="L381" s="4"/>
      <c r="V381" s="1379" t="s">
        <v>591</v>
      </c>
      <c r="W381" s="1379"/>
      <c r="Y381" s="22" t="s">
        <v>979</v>
      </c>
    </row>
    <row r="382" spans="1:34" ht="12.95" customHeight="1">
      <c r="E382" s="4" t="s">
        <v>980</v>
      </c>
      <c r="F382" s="4"/>
      <c r="G382" s="4"/>
      <c r="H382" s="4"/>
      <c r="I382" s="4"/>
      <c r="J382" s="4"/>
      <c r="K382" s="4"/>
      <c r="L382" s="4"/>
      <c r="V382" s="1379" t="s">
        <v>591</v>
      </c>
      <c r="W382" s="1379"/>
      <c r="Y382" s="4" t="s">
        <v>981</v>
      </c>
    </row>
    <row r="383" spans="1:34" ht="12.95" customHeight="1"/>
    <row r="384" spans="1:34" ht="12.95" customHeight="1">
      <c r="A384" s="2" t="s">
        <v>78</v>
      </c>
      <c r="B384" s="2"/>
    </row>
    <row r="385" spans="4:36" ht="12.95" customHeight="1">
      <c r="D385" t="s">
        <v>427</v>
      </c>
      <c r="J385" s="1462" t="s">
        <v>2726</v>
      </c>
      <c r="K385" s="1393"/>
      <c r="L385" s="1393"/>
      <c r="M385" s="1393"/>
      <c r="N385" s="1393"/>
      <c r="O385" s="1393"/>
      <c r="P385" s="1393"/>
      <c r="Q385" s="1393"/>
      <c r="R385" s="1393"/>
      <c r="S385" s="1393"/>
      <c r="T385" s="1393"/>
      <c r="U385" s="1393"/>
      <c r="V385" s="8" t="s">
        <v>83</v>
      </c>
      <c r="W385" s="8"/>
      <c r="X385" s="8"/>
      <c r="Y385" s="8"/>
      <c r="Z385" s="8"/>
      <c r="AA385" s="8"/>
      <c r="AB385" s="8"/>
      <c r="AC385" s="1393"/>
      <c r="AD385" s="1393"/>
      <c r="AE385" s="1393"/>
      <c r="AF385" s="1393"/>
      <c r="AG385" s="1393"/>
      <c r="AH385" s="1393"/>
      <c r="AI385" s="1393"/>
      <c r="AJ385" s="1393"/>
    </row>
    <row r="386" spans="4:36" ht="12.95" customHeight="1">
      <c r="D386" s="3" t="s">
        <v>1181</v>
      </c>
      <c r="J386" s="1582" t="s">
        <v>2727</v>
      </c>
      <c r="K386" s="1397"/>
      <c r="L386" s="1397"/>
      <c r="M386" s="1397"/>
      <c r="N386" s="1397"/>
      <c r="O386" s="1397"/>
      <c r="P386" s="1397"/>
      <c r="Q386" s="1397"/>
      <c r="R386" s="1397"/>
      <c r="S386" s="1397"/>
      <c r="T386" s="1397"/>
      <c r="U386" s="1397"/>
      <c r="V386" s="3" t="s">
        <v>1181</v>
      </c>
      <c r="W386" s="8"/>
      <c r="X386" s="8"/>
      <c r="Y386" s="8"/>
      <c r="Z386" s="8"/>
      <c r="AA386" s="8"/>
      <c r="AB386" s="8"/>
      <c r="AC386" s="1393"/>
      <c r="AD386" s="1393"/>
      <c r="AE386" s="1393"/>
      <c r="AF386" s="1393"/>
      <c r="AG386" s="1393"/>
      <c r="AH386" s="1393"/>
      <c r="AI386" s="1393"/>
      <c r="AJ386" s="1393"/>
    </row>
    <row r="387" spans="4:36" ht="12.95" customHeight="1">
      <c r="D387" s="3" t="s">
        <v>441</v>
      </c>
      <c r="J387" s="1582" t="s">
        <v>2728</v>
      </c>
      <c r="K387" s="1397"/>
      <c r="L387" s="1397"/>
      <c r="M387" s="1397"/>
      <c r="N387" s="1397"/>
      <c r="O387" s="1397"/>
      <c r="P387" s="1397"/>
      <c r="Q387" s="1397"/>
      <c r="R387" s="1397"/>
      <c r="S387" s="1397"/>
      <c r="T387" s="1397"/>
      <c r="U387" s="1397"/>
      <c r="V387" s="3" t="s">
        <v>441</v>
      </c>
      <c r="W387" s="8"/>
      <c r="X387" s="8"/>
      <c r="Y387" s="8"/>
      <c r="Z387" s="8"/>
      <c r="AA387" s="8"/>
      <c r="AB387" s="8"/>
      <c r="AC387" s="1393"/>
      <c r="AD387" s="1393"/>
      <c r="AE387" s="1393"/>
      <c r="AF387" s="1393"/>
      <c r="AG387" s="1393"/>
      <c r="AH387" s="1393"/>
      <c r="AI387" s="1393"/>
      <c r="AJ387" s="1393"/>
    </row>
    <row r="388" spans="4:36" ht="12.95" customHeight="1">
      <c r="D388" t="s">
        <v>1177</v>
      </c>
      <c r="J388" s="1448"/>
      <c r="K388" s="1448"/>
      <c r="L388" s="1448"/>
      <c r="M388" s="1448"/>
      <c r="N388" s="1448"/>
      <c r="O388" s="1448"/>
      <c r="P388" s="1448"/>
      <c r="Q388" s="1448"/>
      <c r="R388" s="1448"/>
      <c r="S388" s="1448"/>
      <c r="T388" s="1448"/>
      <c r="U388" s="1448"/>
      <c r="V388" s="1393"/>
      <c r="W388" s="1393"/>
      <c r="X388" s="1393"/>
      <c r="Y388" s="1393"/>
      <c r="Z388" s="1393"/>
      <c r="AA388" s="1393"/>
      <c r="AB388" s="1393"/>
      <c r="AC388" s="1393"/>
      <c r="AD388" s="1393"/>
      <c r="AE388" s="1393"/>
      <c r="AF388" s="1393"/>
      <c r="AG388" s="1393"/>
      <c r="AH388" s="1393"/>
      <c r="AI388" s="1393"/>
      <c r="AJ388" s="1393"/>
    </row>
    <row r="389" spans="4:36" ht="12.95" customHeight="1">
      <c r="D389" t="s">
        <v>4</v>
      </c>
      <c r="Q389" s="1742">
        <v>45748</v>
      </c>
      <c r="R389" s="1742"/>
      <c r="S389" s="1742"/>
      <c r="T389" s="1742"/>
      <c r="U389" s="1742"/>
      <c r="V389" t="s">
        <v>308</v>
      </c>
      <c r="AI389" s="1379" t="s">
        <v>669</v>
      </c>
      <c r="AJ389" s="1379"/>
    </row>
    <row r="390" spans="4:36" ht="12.95" customHeight="1">
      <c r="D390" t="s">
        <v>5</v>
      </c>
      <c r="Q390" s="1570">
        <v>45809</v>
      </c>
      <c r="R390" s="1812"/>
      <c r="S390" s="1812"/>
      <c r="T390" s="1812"/>
      <c r="U390" s="1812"/>
      <c r="W390" s="21" t="s">
        <v>74</v>
      </c>
      <c r="AG390" s="1810"/>
      <c r="AH390" s="1810"/>
      <c r="AI390" s="1810"/>
      <c r="AJ390" s="1810"/>
    </row>
    <row r="391" spans="4:36" ht="12.95" customHeight="1">
      <c r="D391" t="s">
        <v>426</v>
      </c>
      <c r="Q391" s="1839">
        <v>9750000</v>
      </c>
      <c r="R391" s="1839"/>
      <c r="S391" s="1839"/>
      <c r="T391" s="1839"/>
      <c r="U391" s="1839"/>
      <c r="V391" s="3" t="s">
        <v>1180</v>
      </c>
      <c r="AG391" s="1811">
        <v>46023</v>
      </c>
      <c r="AH391" s="1811"/>
      <c r="AI391" s="1811"/>
      <c r="AJ391" s="1811"/>
    </row>
    <row r="392" spans="4:36" ht="12.95" customHeight="1">
      <c r="D392" t="s">
        <v>88</v>
      </c>
      <c r="I392" s="1468" t="s">
        <v>2647</v>
      </c>
      <c r="J392" s="1469"/>
      <c r="K392" s="1469"/>
      <c r="L392" s="1469"/>
      <c r="M392" s="1469"/>
      <c r="N392" s="1469"/>
      <c r="Q392" s="4" t="s">
        <v>205</v>
      </c>
      <c r="S392" s="1838"/>
      <c r="T392" s="1838"/>
      <c r="U392" s="1838"/>
      <c r="V392" t="s">
        <v>73</v>
      </c>
      <c r="AI392" s="1379" t="s">
        <v>669</v>
      </c>
      <c r="AJ392" s="1379"/>
    </row>
    <row r="393" spans="4:36" ht="12.95" customHeight="1">
      <c r="D393" t="s">
        <v>309</v>
      </c>
      <c r="Q393" s="1454">
        <v>0</v>
      </c>
      <c r="R393" s="1454"/>
      <c r="S393" s="1454"/>
      <c r="T393" s="1454"/>
      <c r="U393" s="1454"/>
      <c r="V393" t="s">
        <v>310</v>
      </c>
      <c r="AG393" s="1810">
        <v>0</v>
      </c>
      <c r="AH393" s="1810"/>
      <c r="AI393" s="1810"/>
      <c r="AJ393" s="1810"/>
    </row>
    <row r="394" spans="4:36" ht="12.95" customHeight="1">
      <c r="D394" t="s">
        <v>311</v>
      </c>
      <c r="Q394" s="1761">
        <v>0</v>
      </c>
      <c r="R394" s="1761"/>
      <c r="S394" s="1761"/>
      <c r="T394" s="1761"/>
      <c r="U394" s="1761"/>
      <c r="V394" t="s">
        <v>1162</v>
      </c>
      <c r="AG394" s="1810">
        <v>0</v>
      </c>
      <c r="AH394" s="1810"/>
      <c r="AI394" s="1810"/>
      <c r="AJ394" s="1810"/>
    </row>
    <row r="395" spans="4:36" ht="12.95" customHeight="1">
      <c r="D395" t="s">
        <v>1161</v>
      </c>
      <c r="AG395" s="1810">
        <v>0</v>
      </c>
      <c r="AH395" s="1810"/>
      <c r="AI395" s="1810"/>
      <c r="AJ395" s="1810"/>
    </row>
    <row r="396" spans="4:36" ht="12.95" customHeight="1">
      <c r="AG396" s="456"/>
      <c r="AH396" s="456"/>
      <c r="AI396" s="456"/>
      <c r="AJ396" s="456"/>
    </row>
    <row r="397" spans="4:36" ht="12.95" customHeight="1">
      <c r="D397" s="3" t="s">
        <v>2142</v>
      </c>
      <c r="AG397" s="456"/>
      <c r="AH397" s="456"/>
      <c r="AI397" s="1379" t="s">
        <v>669</v>
      </c>
      <c r="AJ397" s="1379"/>
    </row>
    <row r="398" spans="4:36" ht="12.95" customHeight="1">
      <c r="D398" s="3" t="s">
        <v>1666</v>
      </c>
      <c r="T398" s="1741"/>
      <c r="U398" s="1741"/>
      <c r="V398" s="1741"/>
      <c r="W398" s="1741"/>
      <c r="X398" s="1741"/>
      <c r="Y398" s="1741"/>
      <c r="Z398" s="1741"/>
      <c r="AA398" s="1741"/>
      <c r="AB398" s="1741"/>
      <c r="AC398" s="1741"/>
      <c r="AD398" s="1741"/>
      <c r="AE398" s="1741"/>
      <c r="AF398" s="1741"/>
      <c r="AG398" s="1741"/>
      <c r="AH398" s="1741"/>
      <c r="AI398" s="1741"/>
      <c r="AJ398" s="1741"/>
    </row>
    <row r="399" spans="4:36" ht="12.95" customHeight="1">
      <c r="D399" s="3" t="s">
        <v>1665</v>
      </c>
      <c r="T399" s="1741"/>
      <c r="U399" s="1741"/>
      <c r="V399" s="1741"/>
      <c r="W399" s="1741"/>
      <c r="X399" s="1741"/>
      <c r="Y399" s="1741"/>
      <c r="Z399" s="1741"/>
      <c r="AA399" s="1741"/>
      <c r="AB399" s="1741"/>
      <c r="AC399" s="1741"/>
      <c r="AD399" s="1741"/>
      <c r="AE399" s="1741"/>
      <c r="AF399" s="1741"/>
      <c r="AG399" s="1741"/>
      <c r="AH399" s="1741"/>
      <c r="AI399" s="1741"/>
      <c r="AJ399" s="1741"/>
    </row>
    <row r="400" spans="4:36" ht="12.95" customHeight="1">
      <c r="AG400" s="456"/>
      <c r="AH400" s="456"/>
      <c r="AI400" s="456"/>
      <c r="AJ400" s="456"/>
    </row>
    <row r="401" spans="1:36" ht="12.95" customHeight="1">
      <c r="D401" s="3" t="s">
        <v>1659</v>
      </c>
      <c r="S401" s="1741" t="s">
        <v>545</v>
      </c>
      <c r="T401" s="1741"/>
      <c r="U401" s="1741"/>
      <c r="V401" t="s">
        <v>1660</v>
      </c>
      <c r="AG401" s="1746">
        <v>99</v>
      </c>
      <c r="AH401" s="1746"/>
      <c r="AI401" s="1746"/>
      <c r="AJ401" s="1746"/>
    </row>
    <row r="402" spans="1:36" ht="12.95" customHeight="1">
      <c r="D402" s="3" t="s">
        <v>1657</v>
      </c>
      <c r="S402" s="1741" t="s">
        <v>545</v>
      </c>
      <c r="T402" s="1741"/>
      <c r="U402" s="1741"/>
      <c r="V402" t="s">
        <v>1662</v>
      </c>
      <c r="AE402" s="1842">
        <f>'15 Year Pro Forma'!E24</f>
        <v>575250</v>
      </c>
      <c r="AF402" s="1842"/>
      <c r="AG402" s="1842"/>
      <c r="AH402" s="1842"/>
      <c r="AI402" s="1842"/>
      <c r="AJ402" s="1842"/>
    </row>
    <row r="403" spans="1:36" ht="12.95" customHeight="1">
      <c r="D403" s="3" t="s">
        <v>1658</v>
      </c>
      <c r="K403" s="1796"/>
      <c r="L403" s="1796"/>
      <c r="M403" s="1796"/>
      <c r="N403" s="1796"/>
      <c r="O403" s="1796"/>
      <c r="P403" s="1796"/>
      <c r="Q403" s="1796"/>
      <c r="R403" s="1796"/>
      <c r="S403" s="1796"/>
      <c r="T403" s="1796"/>
      <c r="U403" s="1796"/>
      <c r="V403" s="1796"/>
      <c r="W403" s="1796"/>
      <c r="X403" s="1796"/>
      <c r="Y403" s="1796"/>
      <c r="Z403" s="1796"/>
      <c r="AA403" s="1796"/>
      <c r="AB403" s="1796"/>
      <c r="AC403" s="1796"/>
      <c r="AD403" s="1796"/>
      <c r="AE403" s="1796"/>
      <c r="AF403" s="1796"/>
      <c r="AG403" s="1796"/>
      <c r="AH403" s="1796"/>
      <c r="AI403" s="1796"/>
      <c r="AJ403" s="1796"/>
    </row>
    <row r="404" spans="1:36" ht="12.95" customHeight="1">
      <c r="D404" s="3" t="s">
        <v>1661</v>
      </c>
      <c r="K404" s="1796" t="s">
        <v>2745</v>
      </c>
      <c r="L404" s="1796"/>
      <c r="M404" s="1796"/>
      <c r="N404" s="1796"/>
      <c r="O404" s="1796"/>
      <c r="P404" s="1796"/>
      <c r="Q404" s="1796"/>
      <c r="R404" s="1796"/>
      <c r="S404" s="1796"/>
      <c r="T404" s="1796"/>
      <c r="U404" s="1796"/>
      <c r="V404" s="1796"/>
      <c r="W404" s="1796"/>
      <c r="X404" s="1796"/>
      <c r="Y404" s="1796"/>
      <c r="Z404" s="1796"/>
      <c r="AA404" s="1796"/>
      <c r="AB404" s="1796"/>
      <c r="AC404" s="1796"/>
      <c r="AD404" s="1796"/>
      <c r="AE404" s="1796"/>
      <c r="AF404" s="1796"/>
      <c r="AG404" s="1796"/>
      <c r="AH404" s="1796"/>
      <c r="AI404" s="1796"/>
      <c r="AJ404" s="1796"/>
    </row>
    <row r="405" spans="1:36" ht="12.95" customHeight="1">
      <c r="D405" s="3" t="s">
        <v>1664</v>
      </c>
      <c r="E405" s="477"/>
      <c r="F405" s="477"/>
      <c r="G405" s="477"/>
      <c r="H405" s="477"/>
      <c r="I405" s="477"/>
      <c r="J405" s="477"/>
      <c r="K405" s="477"/>
      <c r="L405" s="477"/>
      <c r="M405" s="477"/>
      <c r="N405" s="477"/>
      <c r="O405" s="477"/>
      <c r="P405" s="477"/>
      <c r="Q405" s="477"/>
      <c r="R405" s="477"/>
      <c r="S405" s="1837" t="s">
        <v>2746</v>
      </c>
      <c r="T405" s="1837"/>
      <c r="U405" s="1837"/>
      <c r="V405" s="1837"/>
      <c r="W405" s="1837"/>
      <c r="X405" s="1837"/>
      <c r="Y405" s="1837"/>
      <c r="Z405" s="1837"/>
      <c r="AA405" s="1837"/>
      <c r="AB405" s="1837"/>
      <c r="AC405" s="1837"/>
      <c r="AD405" s="1837"/>
      <c r="AE405" s="1837"/>
      <c r="AF405" s="1837"/>
      <c r="AG405" s="1837"/>
      <c r="AH405" s="1837"/>
      <c r="AI405" s="1837"/>
      <c r="AJ405" s="1837"/>
    </row>
    <row r="406" spans="1:36" ht="12.95" customHeight="1">
      <c r="D406" s="1268" t="s">
        <v>1663</v>
      </c>
      <c r="E406" s="1268"/>
      <c r="F406" s="1268"/>
      <c r="G406" s="1268"/>
      <c r="H406" s="1268"/>
      <c r="I406" s="1268"/>
      <c r="J406" s="1268"/>
      <c r="K406" s="1268"/>
      <c r="L406" s="1268"/>
      <c r="M406" s="1268"/>
      <c r="N406" s="1268"/>
      <c r="O406" s="1268"/>
      <c r="P406" s="1268"/>
      <c r="Q406" s="1268"/>
      <c r="R406" s="1268"/>
      <c r="S406" s="1268"/>
      <c r="T406" s="1268"/>
      <c r="U406" s="1268"/>
      <c r="V406" s="1268"/>
      <c r="W406" s="1268"/>
      <c r="X406" s="1268"/>
      <c r="Y406" s="1268"/>
      <c r="Z406" s="1268"/>
      <c r="AA406" s="1268"/>
      <c r="AB406" s="1268"/>
      <c r="AC406" s="1268"/>
      <c r="AD406" s="1268"/>
      <c r="AE406" s="1268"/>
      <c r="AF406" s="1268"/>
      <c r="AG406" s="1268"/>
      <c r="AH406" s="1268"/>
      <c r="AI406" s="1268"/>
      <c r="AJ406" s="1268"/>
    </row>
    <row r="407" spans="1:36" ht="12.95" customHeight="1">
      <c r="D407" s="1268"/>
      <c r="E407" s="1268"/>
      <c r="F407" s="1268"/>
      <c r="G407" s="1268"/>
      <c r="H407" s="1268"/>
      <c r="I407" s="1268"/>
      <c r="J407" s="1268"/>
      <c r="K407" s="1268"/>
      <c r="L407" s="1268"/>
      <c r="M407" s="1268"/>
      <c r="N407" s="1268"/>
      <c r="O407" s="1268"/>
      <c r="P407" s="1268"/>
      <c r="Q407" s="1268"/>
      <c r="R407" s="1268"/>
      <c r="S407" s="1268"/>
      <c r="T407" s="1268"/>
      <c r="U407" s="1268"/>
      <c r="V407" s="1268"/>
      <c r="W407" s="1268"/>
      <c r="X407" s="1268"/>
      <c r="Y407" s="1268"/>
      <c r="Z407" s="1268"/>
      <c r="AA407" s="1268"/>
      <c r="AB407" s="1268"/>
      <c r="AC407" s="1268"/>
      <c r="AD407" s="1268"/>
      <c r="AE407" s="1268"/>
      <c r="AF407" s="1268"/>
      <c r="AG407" s="1268"/>
      <c r="AH407" s="1268"/>
      <c r="AI407" s="1268"/>
      <c r="AJ407" s="1268"/>
    </row>
    <row r="408" spans="1:36" ht="12.95" customHeight="1">
      <c r="AG408" s="456"/>
      <c r="AH408" s="456"/>
      <c r="AI408" s="456"/>
      <c r="AJ408" s="456"/>
    </row>
    <row r="409" spans="1:36" ht="12.95" customHeight="1">
      <c r="A409" s="2" t="s">
        <v>589</v>
      </c>
      <c r="B409" s="2"/>
      <c r="C409" s="2" t="s">
        <v>111</v>
      </c>
    </row>
    <row r="410" spans="1:36" ht="12.95" customHeight="1">
      <c r="B410" s="2"/>
      <c r="C410" s="2"/>
      <c r="D410" s="2" t="s">
        <v>1203</v>
      </c>
      <c r="I410" s="1462" t="s">
        <v>2617</v>
      </c>
      <c r="J410" s="1462"/>
      <c r="K410" s="1462"/>
      <c r="L410" s="1462"/>
      <c r="M410" s="1462"/>
      <c r="N410" s="1462"/>
      <c r="O410" s="1462"/>
      <c r="P410" s="1462"/>
      <c r="Q410" s="1462"/>
      <c r="R410" s="1462"/>
      <c r="S410" s="1462"/>
      <c r="T410" s="1462"/>
      <c r="U410" s="1462"/>
      <c r="V410" s="1462"/>
      <c r="W410" s="1462"/>
      <c r="X410" s="1462"/>
      <c r="Y410" s="1462"/>
      <c r="Z410" s="1462"/>
      <c r="AA410" s="1462"/>
      <c r="AB410" s="1462"/>
      <c r="AC410" s="1462"/>
      <c r="AD410" s="1462"/>
      <c r="AE410" s="1462"/>
    </row>
    <row r="411" spans="1:36" ht="12.95" customHeight="1">
      <c r="E411" t="s">
        <v>106</v>
      </c>
      <c r="R411" s="1379" t="s">
        <v>545</v>
      </c>
      <c r="S411" s="1379"/>
      <c r="AC411" s="27" t="s">
        <v>570</v>
      </c>
      <c r="AD411" s="1700">
        <v>6</v>
      </c>
      <c r="AE411" s="1700"/>
    </row>
    <row r="412" spans="1:36" ht="12.95" customHeight="1">
      <c r="E412" t="s">
        <v>107</v>
      </c>
      <c r="R412" s="1379" t="s">
        <v>545</v>
      </c>
      <c r="S412" s="1379"/>
      <c r="AC412" s="27" t="s">
        <v>570</v>
      </c>
      <c r="AD412" s="1700">
        <v>6</v>
      </c>
      <c r="AE412" s="1700"/>
    </row>
    <row r="413" spans="1:36" ht="12.95" customHeight="1">
      <c r="E413" t="s">
        <v>108</v>
      </c>
      <c r="S413" s="1379" t="s">
        <v>591</v>
      </c>
      <c r="T413" s="1379"/>
    </row>
    <row r="414" spans="1:36" ht="12.95" customHeight="1">
      <c r="E414" t="s">
        <v>169</v>
      </c>
      <c r="H414" s="1762" t="s">
        <v>2729</v>
      </c>
      <c r="I414" s="1762"/>
      <c r="J414" s="1762"/>
      <c r="K414" s="1762"/>
      <c r="L414" s="1762"/>
      <c r="M414" s="1762"/>
      <c r="N414" s="1762"/>
      <c r="O414" s="1762"/>
      <c r="P414" s="1762"/>
      <c r="Q414" s="1762"/>
      <c r="R414" s="1762"/>
      <c r="S414" s="1762"/>
      <c r="T414" s="1762"/>
      <c r="U414" s="1762"/>
      <c r="V414" s="1762"/>
      <c r="W414" s="1762"/>
      <c r="X414" s="1762"/>
      <c r="Y414" s="1762"/>
      <c r="Z414" s="1762"/>
      <c r="AA414" s="1762"/>
      <c r="AB414" s="1762"/>
      <c r="AC414" s="1762"/>
      <c r="AD414" s="1762"/>
      <c r="AE414" s="1762"/>
    </row>
    <row r="415" spans="1:36" ht="12.95" customHeight="1">
      <c r="H415" s="1763"/>
      <c r="I415" s="1763"/>
      <c r="J415" s="1763"/>
      <c r="K415" s="1763"/>
      <c r="L415" s="1763"/>
      <c r="M415" s="1763"/>
      <c r="N415" s="1763"/>
      <c r="O415" s="1763"/>
      <c r="P415" s="1763"/>
      <c r="Q415" s="1763"/>
      <c r="R415" s="1763"/>
      <c r="S415" s="1763"/>
      <c r="T415" s="1763"/>
      <c r="U415" s="1763"/>
      <c r="V415" s="1763"/>
      <c r="W415" s="1763"/>
      <c r="X415" s="1763"/>
      <c r="Y415" s="1763"/>
      <c r="Z415" s="1763"/>
      <c r="AA415" s="1763"/>
      <c r="AB415" s="1763"/>
      <c r="AC415" s="1763"/>
      <c r="AD415" s="1763"/>
      <c r="AE415" s="1763"/>
    </row>
    <row r="416" spans="1:36" ht="12.95" customHeight="1"/>
    <row r="417" spans="1:39" ht="12.95" customHeight="1">
      <c r="A417" s="2" t="s">
        <v>590</v>
      </c>
      <c r="B417" s="2"/>
      <c r="C417" s="2"/>
      <c r="D417" s="2" t="s">
        <v>114</v>
      </c>
      <c r="AF417" s="2" t="s">
        <v>957</v>
      </c>
    </row>
    <row r="418" spans="1:39" ht="12.95" customHeight="1">
      <c r="E418" s="1809"/>
      <c r="F418" s="1809"/>
      <c r="G418" s="1809"/>
      <c r="H418" s="13" t="s">
        <v>115</v>
      </c>
      <c r="I418" s="1809"/>
      <c r="J418" s="1809"/>
      <c r="K418" s="1809"/>
      <c r="L418" t="s">
        <v>116</v>
      </c>
      <c r="N418" s="27" t="s">
        <v>575</v>
      </c>
      <c r="P418" s="1760">
        <v>1.17</v>
      </c>
      <c r="Q418" s="1760"/>
      <c r="R418" s="1760"/>
      <c r="S418" t="s">
        <v>117</v>
      </c>
      <c r="W418" s="1815">
        <f>IF(E418&gt;0,(E418*I418),(P418*43560))</f>
        <v>50965.2</v>
      </c>
      <c r="X418" s="1815"/>
      <c r="Y418" s="1815"/>
      <c r="Z418" t="s">
        <v>118</v>
      </c>
      <c r="AF418" s="1819">
        <f>IFERROR(IF(P418&gt;0,(AG437/P418),(AG437/(W418/43560))),0)</f>
        <v>232.47863247863251</v>
      </c>
      <c r="AG418" s="1819"/>
      <c r="AH418" s="1819"/>
      <c r="AM418" s="3"/>
    </row>
    <row r="419" spans="1:39" ht="12.95" customHeight="1">
      <c r="E419" t="s">
        <v>51</v>
      </c>
    </row>
    <row r="420" spans="1:39" ht="12.95" customHeight="1">
      <c r="E420" s="1841"/>
      <c r="F420" s="1841"/>
      <c r="G420" s="1841"/>
      <c r="H420" s="1841"/>
      <c r="I420" s="1841"/>
      <c r="J420" s="1841"/>
      <c r="K420" s="1841"/>
      <c r="L420" s="1841"/>
      <c r="M420" s="1841"/>
      <c r="N420" s="1841"/>
      <c r="O420" s="1841"/>
      <c r="P420" s="1841"/>
      <c r="Q420" s="1841"/>
      <c r="R420" s="1841"/>
      <c r="S420" s="1841"/>
      <c r="T420" s="1841"/>
      <c r="U420" s="1841"/>
      <c r="V420" s="1841"/>
      <c r="W420" s="1841"/>
      <c r="X420" s="1841"/>
      <c r="Y420" s="1841"/>
      <c r="Z420" s="1841"/>
      <c r="AA420" s="1841"/>
      <c r="AB420" s="1841"/>
      <c r="AC420" s="1841"/>
      <c r="AD420" s="1841"/>
      <c r="AE420" s="1841"/>
      <c r="AF420" s="1841"/>
      <c r="AG420" s="1841"/>
      <c r="AH420" s="1841"/>
      <c r="AI420" s="1841"/>
      <c r="AJ420" s="1841"/>
    </row>
    <row r="421" spans="1:39" ht="12.95" customHeight="1">
      <c r="E421" s="118" t="s">
        <v>1735</v>
      </c>
      <c r="F421" s="1013"/>
      <c r="G421" s="1013"/>
      <c r="H421" s="1013"/>
      <c r="I421" s="1840">
        <v>1.17</v>
      </c>
      <c r="J421" s="1840"/>
      <c r="K421" s="1840"/>
      <c r="L421" s="1013"/>
      <c r="M421" s="118"/>
      <c r="N421" s="1013"/>
      <c r="O421" s="1013"/>
      <c r="P421" s="1487">
        <f>(DU755+DU778+DU800)/I421</f>
        <v>277.77777777777777</v>
      </c>
      <c r="Q421" s="1487"/>
      <c r="R421" s="1487"/>
      <c r="S421" s="118" t="s">
        <v>1736</v>
      </c>
      <c r="T421" s="1013"/>
      <c r="U421" s="1013"/>
      <c r="V421" s="1013"/>
      <c r="W421" s="1013"/>
      <c r="X421" s="1013"/>
      <c r="Y421" s="1013"/>
      <c r="Z421" s="1013"/>
      <c r="AA421" s="1013"/>
      <c r="AB421" s="1013"/>
      <c r="AC421" s="1013"/>
      <c r="AD421" s="1013"/>
      <c r="AE421" s="1013"/>
      <c r="AF421" s="1013"/>
      <c r="AG421" s="1013"/>
      <c r="AH421" s="1013"/>
      <c r="AI421" s="1013"/>
      <c r="AJ421" s="1013"/>
    </row>
    <row r="422" spans="1:39" ht="12.95" customHeight="1"/>
    <row r="423" spans="1:39" ht="12.95" customHeight="1">
      <c r="A423" s="2" t="s">
        <v>592</v>
      </c>
      <c r="B423" s="2"/>
      <c r="C423" s="2"/>
      <c r="D423" s="2" t="s">
        <v>120</v>
      </c>
    </row>
    <row r="424" spans="1:39" ht="12.95" customHeight="1">
      <c r="E424" t="s">
        <v>121</v>
      </c>
      <c r="P424" s="1379">
        <v>2</v>
      </c>
      <c r="Q424" s="1379"/>
      <c r="S424" t="s">
        <v>188</v>
      </c>
      <c r="AE424" s="1379">
        <v>2</v>
      </c>
      <c r="AF424" s="1379"/>
    </row>
    <row r="425" spans="1:39" ht="12.95" customHeight="1">
      <c r="E425" t="s">
        <v>189</v>
      </c>
      <c r="P425" s="1379">
        <v>0</v>
      </c>
      <c r="Q425" s="1379"/>
      <c r="S425" t="s">
        <v>131</v>
      </c>
      <c r="AE425" s="1379" t="s">
        <v>591</v>
      </c>
      <c r="AF425" s="1379"/>
    </row>
    <row r="426" spans="1:39" ht="12.95" customHeight="1">
      <c r="F426" s="28" t="s">
        <v>132</v>
      </c>
    </row>
    <row r="427" spans="1:39" ht="12.95" customHeight="1">
      <c r="F427" s="1801"/>
      <c r="G427" s="1801"/>
      <c r="H427" s="1801"/>
      <c r="I427" s="1801"/>
      <c r="J427" s="1801"/>
      <c r="K427" s="1801"/>
      <c r="L427" s="1801"/>
      <c r="M427" s="1801"/>
      <c r="N427" s="1801"/>
      <c r="O427" s="1801"/>
      <c r="P427" s="1801"/>
      <c r="Q427" s="1801"/>
      <c r="R427" s="1801"/>
      <c r="S427" s="1801"/>
      <c r="T427" s="1801"/>
      <c r="U427" s="1801"/>
      <c r="V427" s="1801"/>
      <c r="W427" s="1801"/>
      <c r="X427" s="1801"/>
      <c r="Y427" s="1801"/>
      <c r="Z427" s="1801"/>
      <c r="AA427" s="1801"/>
      <c r="AB427" s="1801"/>
      <c r="AC427" s="1801"/>
      <c r="AD427" s="1801"/>
      <c r="AE427" s="1801"/>
      <c r="AF427" s="1801"/>
      <c r="AG427" s="1801"/>
      <c r="AH427" s="1801"/>
    </row>
    <row r="428" spans="1:39" ht="12.95" customHeight="1">
      <c r="F428" s="1768"/>
      <c r="G428" s="1768"/>
      <c r="H428" s="1768"/>
      <c r="I428" s="1768"/>
      <c r="J428" s="1768"/>
      <c r="K428" s="1768"/>
      <c r="L428" s="1768"/>
      <c r="M428" s="1768"/>
      <c r="N428" s="1768"/>
      <c r="O428" s="1768"/>
      <c r="P428" s="1768"/>
      <c r="Q428" s="1768"/>
      <c r="R428" s="1768"/>
      <c r="S428" s="1768"/>
      <c r="T428" s="1768"/>
      <c r="U428" s="1768"/>
      <c r="V428" s="1768"/>
      <c r="W428" s="1768"/>
      <c r="X428" s="1768"/>
      <c r="Y428" s="1768"/>
      <c r="Z428" s="1768"/>
      <c r="AA428" s="1768"/>
      <c r="AB428" s="1768"/>
      <c r="AC428" s="1768"/>
      <c r="AD428" s="1768"/>
      <c r="AE428" s="1768"/>
      <c r="AF428" s="1768"/>
      <c r="AG428" s="1768"/>
      <c r="AH428" s="1768"/>
    </row>
    <row r="429" spans="1:39" ht="12.95" customHeight="1">
      <c r="E429" t="s">
        <v>608</v>
      </c>
      <c r="P429" s="1"/>
      <c r="Q429" s="1379" t="s">
        <v>545</v>
      </c>
      <c r="R429" s="1379"/>
    </row>
    <row r="430" spans="1:39" ht="12.95" customHeight="1">
      <c r="F430" t="s">
        <v>609</v>
      </c>
      <c r="P430" s="1"/>
      <c r="Q430" s="1"/>
      <c r="AF430" s="1379" t="s">
        <v>591</v>
      </c>
      <c r="AG430" s="1818"/>
    </row>
    <row r="431" spans="1:39" ht="12.95" customHeight="1"/>
    <row r="432" spans="1:39" ht="12.95" customHeight="1">
      <c r="A432" s="2"/>
      <c r="B432" s="2"/>
      <c r="C432" s="2"/>
      <c r="E432" s="4" t="s">
        <v>307</v>
      </c>
      <c r="Z432" s="1379" t="s">
        <v>669</v>
      </c>
      <c r="AA432" s="1379"/>
    </row>
    <row r="433" spans="1:55"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55" ht="12.95" customHeight="1">
      <c r="F434" t="s">
        <v>707</v>
      </c>
      <c r="G434" s="40"/>
      <c r="I434" s="40"/>
      <c r="J434" s="40"/>
      <c r="K434" s="40"/>
      <c r="L434" s="40"/>
      <c r="M434" s="40"/>
      <c r="N434" s="40"/>
      <c r="O434" s="28"/>
      <c r="P434" s="40"/>
      <c r="Q434" s="40"/>
      <c r="R434" s="40"/>
      <c r="S434" s="40"/>
      <c r="T434" s="40"/>
      <c r="U434" s="40"/>
      <c r="V434" s="40"/>
      <c r="W434" s="40"/>
      <c r="Z434" s="1379" t="s">
        <v>591</v>
      </c>
      <c r="AA434" s="1379"/>
    </row>
    <row r="435" spans="1:55" ht="12.95" customHeight="1"/>
    <row r="436" spans="1:55" ht="12.95" customHeight="1">
      <c r="A436" s="2" t="s">
        <v>467</v>
      </c>
      <c r="B436" s="2"/>
      <c r="C436" s="2"/>
      <c r="D436" s="2" t="s">
        <v>764</v>
      </c>
      <c r="AF436" s="48"/>
    </row>
    <row r="437" spans="1:55" ht="12.95" customHeight="1">
      <c r="D437" s="1646" t="s">
        <v>43</v>
      </c>
      <c r="E437" s="1647"/>
      <c r="F437" s="1647"/>
      <c r="G437" s="1647"/>
      <c r="H437" s="1647"/>
      <c r="I437" s="1647"/>
      <c r="J437" s="1647"/>
      <c r="K437" s="1647"/>
      <c r="L437" s="1647"/>
      <c r="M437" s="1647"/>
      <c r="N437" s="1647"/>
      <c r="O437" s="1647"/>
      <c r="P437" s="1647"/>
      <c r="Q437" s="1647"/>
      <c r="R437" s="1647"/>
      <c r="S437" s="1647"/>
      <c r="T437" s="1647"/>
      <c r="U437" s="1647"/>
      <c r="V437" s="1647"/>
      <c r="W437" s="1647"/>
      <c r="X437" s="1647"/>
      <c r="Y437" s="1647"/>
      <c r="Z437" s="1647"/>
      <c r="AA437" s="1647"/>
      <c r="AB437" s="1647"/>
      <c r="AC437" s="1647"/>
      <c r="AD437" s="1647"/>
      <c r="AE437" s="1647"/>
      <c r="AF437" s="1814"/>
      <c r="AG437" s="1813">
        <v>272</v>
      </c>
      <c r="AH437" s="1813"/>
      <c r="AI437" s="1813"/>
      <c r="AJ437" s="1813"/>
    </row>
    <row r="438" spans="1:55" ht="12.95" customHeight="1">
      <c r="D438" s="1733" t="s">
        <v>1221</v>
      </c>
      <c r="E438" s="1734"/>
      <c r="F438" s="1734"/>
      <c r="G438" s="1734"/>
      <c r="H438" s="1734"/>
      <c r="I438" s="1734"/>
      <c r="J438" s="1734"/>
      <c r="K438" s="1734"/>
      <c r="L438" s="1734"/>
      <c r="M438" s="1734"/>
      <c r="N438" s="1734"/>
      <c r="O438" s="1734"/>
      <c r="P438" s="1734"/>
      <c r="Q438" s="1734"/>
      <c r="R438" s="1734"/>
      <c r="S438" s="1734"/>
      <c r="T438" s="1734"/>
      <c r="U438" s="1734"/>
      <c r="V438" s="1734"/>
      <c r="W438" s="1734"/>
      <c r="X438" s="1734"/>
      <c r="Y438" s="1734"/>
      <c r="Z438" s="1734"/>
      <c r="AA438" s="1734"/>
      <c r="AB438" s="1734"/>
      <c r="AC438" s="1734"/>
      <c r="AD438" s="1734"/>
      <c r="AE438" s="1734"/>
      <c r="AF438" s="1735"/>
      <c r="AG438" s="1821">
        <v>0</v>
      </c>
      <c r="AH438" s="1590"/>
      <c r="AI438" s="1590"/>
      <c r="AJ438" s="1590"/>
    </row>
    <row r="439" spans="1:55" ht="12.95" customHeight="1">
      <c r="D439" s="1733" t="s">
        <v>1030</v>
      </c>
      <c r="E439" s="1734"/>
      <c r="F439" s="1734"/>
      <c r="G439" s="1734"/>
      <c r="H439" s="1734"/>
      <c r="I439" s="1734"/>
      <c r="J439" s="1734"/>
      <c r="K439" s="1734"/>
      <c r="L439" s="1734"/>
      <c r="M439" s="1734"/>
      <c r="N439" s="1734"/>
      <c r="O439" s="1734"/>
      <c r="P439" s="1734"/>
      <c r="Q439" s="1734"/>
      <c r="R439" s="1734"/>
      <c r="S439" s="1734"/>
      <c r="T439" s="1734"/>
      <c r="U439" s="1734"/>
      <c r="V439" s="1734"/>
      <c r="W439" s="1734"/>
      <c r="X439" s="1734"/>
      <c r="Y439" s="1734"/>
      <c r="Z439" s="1734"/>
      <c r="AA439" s="1734"/>
      <c r="AB439" s="1734"/>
      <c r="AC439" s="1734"/>
      <c r="AD439" s="1734"/>
      <c r="AE439" s="1734"/>
      <c r="AF439" s="1735"/>
      <c r="AG439" s="1813">
        <v>269</v>
      </c>
      <c r="AH439" s="1813"/>
      <c r="AI439" s="1813"/>
      <c r="AJ439" s="1813"/>
    </row>
    <row r="440" spans="1:55" ht="12.95" customHeight="1">
      <c r="D440" s="1733" t="s">
        <v>1031</v>
      </c>
      <c r="E440" s="1734"/>
      <c r="F440" s="1734"/>
      <c r="G440" s="1734"/>
      <c r="H440" s="1734"/>
      <c r="I440" s="1734"/>
      <c r="J440" s="1734"/>
      <c r="K440" s="1734"/>
      <c r="L440" s="1734"/>
      <c r="M440" s="1734"/>
      <c r="N440" s="1734"/>
      <c r="O440" s="1734"/>
      <c r="P440" s="1734"/>
      <c r="Q440" s="1734"/>
      <c r="R440" s="1734"/>
      <c r="S440" s="1734"/>
      <c r="T440" s="1734"/>
      <c r="U440" s="1734"/>
      <c r="V440" s="1734"/>
      <c r="W440" s="1734"/>
      <c r="X440" s="1734"/>
      <c r="Y440" s="1734"/>
      <c r="Z440" s="1734"/>
      <c r="AA440" s="1734"/>
      <c r="AB440" s="1734"/>
      <c r="AC440" s="1734"/>
      <c r="AD440" s="1734"/>
      <c r="AE440" s="1734"/>
      <c r="AF440" s="1735"/>
      <c r="AG440" s="1813">
        <v>269</v>
      </c>
      <c r="AH440" s="1813"/>
      <c r="AI440" s="1813"/>
      <c r="AJ440" s="1813"/>
    </row>
    <row r="441" spans="1:55" ht="12.95" customHeight="1">
      <c r="D441" s="1733" t="s">
        <v>1033</v>
      </c>
      <c r="E441" s="1734"/>
      <c r="F441" s="1734"/>
      <c r="G441" s="1734"/>
      <c r="H441" s="1734"/>
      <c r="I441" s="1734"/>
      <c r="J441" s="1734"/>
      <c r="K441" s="1734"/>
      <c r="L441" s="1734"/>
      <c r="M441" s="1734"/>
      <c r="N441" s="1734"/>
      <c r="O441" s="1734"/>
      <c r="P441" s="1734"/>
      <c r="Q441" s="1734"/>
      <c r="R441" s="1734"/>
      <c r="S441" s="1734"/>
      <c r="T441" s="1734"/>
      <c r="U441" s="1734"/>
      <c r="V441" s="1734"/>
      <c r="W441" s="1734"/>
      <c r="X441" s="1734"/>
      <c r="Y441" s="1734"/>
      <c r="Z441" s="1734"/>
      <c r="AA441" s="1734"/>
      <c r="AB441" s="1734"/>
      <c r="AC441" s="1734"/>
      <c r="AD441" s="1734"/>
      <c r="AE441" s="1734"/>
      <c r="AF441" s="1735"/>
      <c r="AG441" s="1822">
        <f>IF(ISERROR(AG440/AG439),0,AG440/AG439)</f>
        <v>1</v>
      </c>
      <c r="AH441" s="1822"/>
      <c r="AI441" s="1822"/>
      <c r="AJ441" s="1822"/>
    </row>
    <row r="442" spans="1:55" ht="12.95" customHeight="1">
      <c r="D442" s="1733" t="s">
        <v>1032</v>
      </c>
      <c r="E442" s="1734"/>
      <c r="F442" s="1734"/>
      <c r="G442" s="1734"/>
      <c r="H442" s="1734"/>
      <c r="I442" s="1734"/>
      <c r="J442" s="1734"/>
      <c r="K442" s="1734"/>
      <c r="L442" s="1734"/>
      <c r="M442" s="1734"/>
      <c r="N442" s="1734"/>
      <c r="O442" s="1734"/>
      <c r="P442" s="1734"/>
      <c r="Q442" s="1734"/>
      <c r="R442" s="1734"/>
      <c r="S442" s="1734"/>
      <c r="T442" s="1734"/>
      <c r="U442" s="1734"/>
      <c r="V442" s="1734"/>
      <c r="W442" s="1734"/>
      <c r="X442" s="1734"/>
      <c r="Y442" s="1734"/>
      <c r="Z442" s="1734"/>
      <c r="AA442" s="1734"/>
      <c r="AB442" s="1734"/>
      <c r="AC442" s="1734"/>
      <c r="AD442" s="1734"/>
      <c r="AE442" s="1734"/>
      <c r="AF442" s="1735"/>
      <c r="AG442" s="1756">
        <v>125896</v>
      </c>
      <c r="AH442" s="1756"/>
      <c r="AI442" s="1756"/>
      <c r="AJ442" s="1756"/>
    </row>
    <row r="443" spans="1:55" ht="12.95" customHeight="1">
      <c r="D443" s="1733" t="s">
        <v>1034</v>
      </c>
      <c r="E443" s="1734"/>
      <c r="F443" s="1734"/>
      <c r="G443" s="1734"/>
      <c r="H443" s="1734"/>
      <c r="I443" s="1734"/>
      <c r="J443" s="1734"/>
      <c r="K443" s="1734"/>
      <c r="L443" s="1734"/>
      <c r="M443" s="1734"/>
      <c r="N443" s="1734"/>
      <c r="O443" s="1734"/>
      <c r="P443" s="1734"/>
      <c r="Q443" s="1734"/>
      <c r="R443" s="1734"/>
      <c r="S443" s="1734"/>
      <c r="T443" s="1734"/>
      <c r="U443" s="1734"/>
      <c r="V443" s="1734"/>
      <c r="W443" s="1734"/>
      <c r="X443" s="1734"/>
      <c r="Y443" s="1734"/>
      <c r="Z443" s="1734"/>
      <c r="AA443" s="1734"/>
      <c r="AB443" s="1734"/>
      <c r="AC443" s="1734"/>
      <c r="AD443" s="1734"/>
      <c r="AE443" s="1734"/>
      <c r="AF443" s="1735"/>
      <c r="AG443" s="1756">
        <f>AG442</f>
        <v>125896</v>
      </c>
      <c r="AH443" s="1756"/>
      <c r="AI443" s="1756"/>
      <c r="AJ443" s="1756"/>
    </row>
    <row r="444" spans="1:55" ht="12.95" customHeight="1">
      <c r="D444" s="1733" t="s">
        <v>1035</v>
      </c>
      <c r="E444" s="1734"/>
      <c r="F444" s="1734"/>
      <c r="G444" s="1734"/>
      <c r="H444" s="1734"/>
      <c r="I444" s="1734"/>
      <c r="J444" s="1734"/>
      <c r="K444" s="1734"/>
      <c r="L444" s="1734"/>
      <c r="M444" s="1734"/>
      <c r="N444" s="1734"/>
      <c r="O444" s="1734"/>
      <c r="P444" s="1734"/>
      <c r="Q444" s="1734"/>
      <c r="R444" s="1734"/>
      <c r="S444" s="1734"/>
      <c r="T444" s="1734"/>
      <c r="U444" s="1734"/>
      <c r="V444" s="1734"/>
      <c r="W444" s="1734"/>
      <c r="X444" s="1734"/>
      <c r="Y444" s="1734"/>
      <c r="Z444" s="1734"/>
      <c r="AA444" s="1734"/>
      <c r="AB444" s="1734"/>
      <c r="AC444" s="1734"/>
      <c r="AD444" s="1734"/>
      <c r="AE444" s="1734"/>
      <c r="AF444" s="1735"/>
      <c r="AG444" s="1822">
        <f>IF(ISERROR(AG443/AG442),0,AG443/AG442)</f>
        <v>1</v>
      </c>
      <c r="AH444" s="1822"/>
      <c r="AI444" s="1822"/>
      <c r="AJ444" s="1822"/>
    </row>
    <row r="445" spans="1:55" ht="12.95" customHeight="1">
      <c r="D445" s="1733" t="s">
        <v>1036</v>
      </c>
      <c r="E445" s="1734"/>
      <c r="F445" s="1734"/>
      <c r="G445" s="1734"/>
      <c r="H445" s="1734"/>
      <c r="I445" s="1734"/>
      <c r="J445" s="1734"/>
      <c r="K445" s="1734"/>
      <c r="L445" s="1734"/>
      <c r="M445" s="1734"/>
      <c r="N445" s="1734"/>
      <c r="O445" s="1734"/>
      <c r="P445" s="1734"/>
      <c r="Q445" s="1734"/>
      <c r="R445" s="1734"/>
      <c r="S445" s="1734"/>
      <c r="T445" s="1734"/>
      <c r="U445" s="1734"/>
      <c r="V445" s="1734"/>
      <c r="W445" s="1734"/>
      <c r="X445" s="1734"/>
      <c r="Y445" s="1734"/>
      <c r="Z445" s="1734"/>
      <c r="AA445" s="1734"/>
      <c r="AB445" s="1734"/>
      <c r="AC445" s="1734"/>
      <c r="AD445" s="1734"/>
      <c r="AE445" s="1734"/>
      <c r="AF445" s="1735"/>
      <c r="AG445" s="1822">
        <f>MIN(IF(AG441&gt;AG444,AG444,AG441),1)</f>
        <v>1</v>
      </c>
      <c r="AH445" s="1822"/>
      <c r="AI445" s="1822"/>
      <c r="AJ445" s="1822"/>
    </row>
    <row r="446" spans="1:55" ht="12.95" customHeight="1">
      <c r="D446" s="1733" t="s">
        <v>2087</v>
      </c>
      <c r="E446" s="1647"/>
      <c r="F446" s="1647"/>
      <c r="G446" s="1647"/>
      <c r="H446" s="1647"/>
      <c r="I446" s="1647"/>
      <c r="J446" s="1647"/>
      <c r="K446" s="1647"/>
      <c r="L446" s="1647"/>
      <c r="M446" s="1647"/>
      <c r="N446" s="1647"/>
      <c r="O446" s="1647"/>
      <c r="P446" s="1647"/>
      <c r="Q446" s="1647"/>
      <c r="R446" s="1647"/>
      <c r="S446" s="1647"/>
      <c r="T446" s="1647"/>
      <c r="U446" s="1647"/>
      <c r="V446" s="1647"/>
      <c r="W446" s="1647"/>
      <c r="X446" s="1647"/>
      <c r="Y446" s="1647"/>
      <c r="Z446" s="1647"/>
      <c r="AA446" s="1647"/>
      <c r="AB446" s="1647"/>
      <c r="AC446" s="1647"/>
      <c r="AD446" s="1647"/>
      <c r="AE446" s="1647"/>
      <c r="AF446" s="1814"/>
      <c r="AG446" s="1756">
        <f>1126+1602+532</f>
        <v>3260</v>
      </c>
      <c r="AH446" s="1756"/>
      <c r="AI446" s="1756"/>
      <c r="AJ446" s="1756"/>
      <c r="AZ446" s="34"/>
      <c r="BA446" s="34"/>
      <c r="BB446" s="34"/>
      <c r="BC446" s="34"/>
    </row>
    <row r="447" spans="1:55" ht="12.95" customHeight="1">
      <c r="D447" s="1646" t="s">
        <v>569</v>
      </c>
      <c r="E447" s="1647"/>
      <c r="F447" s="1647"/>
      <c r="G447" s="1647"/>
      <c r="H447" s="1647"/>
      <c r="I447" s="1647"/>
      <c r="J447" s="1647"/>
      <c r="K447" s="1647"/>
      <c r="L447" s="1647"/>
      <c r="M447" s="1647"/>
      <c r="N447" s="1647"/>
      <c r="O447" s="1647"/>
      <c r="P447" s="1647"/>
      <c r="Q447" s="1647"/>
      <c r="R447" s="1647"/>
      <c r="S447" s="1647"/>
      <c r="T447" s="1647"/>
      <c r="U447" s="1647"/>
      <c r="V447" s="1647"/>
      <c r="W447" s="1647"/>
      <c r="X447" s="1647"/>
      <c r="Y447" s="1647"/>
      <c r="Z447" s="1647"/>
      <c r="AA447" s="1647"/>
      <c r="AB447" s="1647"/>
      <c r="AC447" s="1647"/>
      <c r="AD447" s="1647"/>
      <c r="AE447" s="1647"/>
      <c r="AF447" s="1814"/>
      <c r="AG447" s="1756">
        <v>0</v>
      </c>
      <c r="AH447" s="1756"/>
      <c r="AI447" s="1756"/>
      <c r="AJ447" s="1756"/>
      <c r="AZ447" s="3"/>
      <c r="BA447" s="3"/>
      <c r="BB447" s="3"/>
      <c r="BC447" s="3"/>
    </row>
    <row r="448" spans="1:55" ht="12.95" customHeight="1">
      <c r="D448" s="1733" t="s">
        <v>1204</v>
      </c>
      <c r="E448" s="1647"/>
      <c r="F448" s="1647"/>
      <c r="G448" s="1647"/>
      <c r="H448" s="1647"/>
      <c r="I448" s="1647"/>
      <c r="J448" s="1647"/>
      <c r="K448" s="1647"/>
      <c r="L448" s="1647"/>
      <c r="M448" s="1647"/>
      <c r="N448" s="1647"/>
      <c r="O448" s="1647"/>
      <c r="P448" s="1647"/>
      <c r="Q448" s="1647"/>
      <c r="R448" s="1647"/>
      <c r="S448" s="1647"/>
      <c r="T448" s="1647"/>
      <c r="U448" s="1647"/>
      <c r="V448" s="1647"/>
      <c r="W448" s="1647"/>
      <c r="X448" s="1647"/>
      <c r="Y448" s="1647"/>
      <c r="Z448" s="1647"/>
      <c r="AA448" s="1647"/>
      <c r="AB448" s="1647"/>
      <c r="AC448" s="1647"/>
      <c r="AD448" s="1647"/>
      <c r="AE448" s="1647"/>
      <c r="AF448" s="1814"/>
      <c r="AG448" s="1756">
        <f>812+309+331+267+464+690+815</f>
        <v>3688</v>
      </c>
      <c r="AH448" s="1756"/>
      <c r="AI448" s="1756"/>
      <c r="AJ448" s="1756"/>
      <c r="AZ448" s="3"/>
      <c r="BA448" s="3"/>
      <c r="BB448" s="3"/>
      <c r="BC448" s="3"/>
    </row>
    <row r="449" spans="1:55" ht="12.95" customHeight="1">
      <c r="D449" s="1733" t="s">
        <v>1037</v>
      </c>
      <c r="E449" s="1647"/>
      <c r="F449" s="1647"/>
      <c r="G449" s="1647"/>
      <c r="H449" s="1647"/>
      <c r="I449" s="1647"/>
      <c r="J449" s="1647"/>
      <c r="K449" s="1647"/>
      <c r="L449" s="1647"/>
      <c r="M449" s="1647"/>
      <c r="N449" s="1647"/>
      <c r="O449" s="1647"/>
      <c r="P449" s="1647"/>
      <c r="Q449" s="1647"/>
      <c r="R449" s="1647"/>
      <c r="S449" s="1647"/>
      <c r="T449" s="1647"/>
      <c r="U449" s="1647"/>
      <c r="V449" s="1647"/>
      <c r="W449" s="1647"/>
      <c r="X449" s="1647"/>
      <c r="Y449" s="1647"/>
      <c r="Z449" s="1647"/>
      <c r="AA449" s="1647"/>
      <c r="AB449" s="1647"/>
      <c r="AC449" s="1647"/>
      <c r="AD449" s="1647"/>
      <c r="AE449" s="1647"/>
      <c r="AF449" s="1814"/>
      <c r="AG449" s="1756">
        <v>0</v>
      </c>
      <c r="AH449" s="1756"/>
      <c r="AI449" s="1756"/>
      <c r="AJ449" s="1756"/>
      <c r="BB449" s="3"/>
      <c r="BC449" s="3"/>
    </row>
    <row r="450" spans="1:55" ht="12.95" customHeight="1">
      <c r="D450" s="1753" t="s">
        <v>1038</v>
      </c>
      <c r="E450" s="1754"/>
      <c r="F450" s="1754"/>
      <c r="G450" s="1754"/>
      <c r="H450" s="1754"/>
      <c r="I450" s="1754"/>
      <c r="J450" s="1754"/>
      <c r="K450" s="1754"/>
      <c r="L450" s="1754"/>
      <c r="M450" s="1754"/>
      <c r="N450" s="1754"/>
      <c r="O450" s="1754"/>
      <c r="P450" s="1754"/>
      <c r="Q450" s="1754"/>
      <c r="R450" s="1754"/>
      <c r="S450" s="1754"/>
      <c r="T450" s="1754"/>
      <c r="U450" s="1754"/>
      <c r="V450" s="1754"/>
      <c r="W450" s="1754"/>
      <c r="X450" s="1754"/>
      <c r="Y450" s="1754"/>
      <c r="Z450" s="1754"/>
      <c r="AA450" s="1754"/>
      <c r="AB450" s="1754"/>
      <c r="AC450" s="1754"/>
      <c r="AD450" s="1754"/>
      <c r="AE450" s="1754"/>
      <c r="AF450" s="1755"/>
      <c r="AG450" s="1820">
        <f>AG442+AG446+AG448+AG449</f>
        <v>132844</v>
      </c>
      <c r="AH450" s="1820"/>
      <c r="AI450" s="1820"/>
      <c r="AJ450" s="1820"/>
      <c r="AZ450" s="3"/>
      <c r="BA450" s="3"/>
      <c r="BB450" s="3"/>
      <c r="BC450" s="3"/>
    </row>
    <row r="451" spans="1:55" ht="12.95" customHeight="1">
      <c r="D451" s="1736" t="s">
        <v>1205</v>
      </c>
      <c r="E451" s="1736"/>
      <c r="F451" s="1736"/>
      <c r="G451" s="1736"/>
      <c r="H451" s="1736"/>
      <c r="I451" s="1736"/>
      <c r="J451" s="1736"/>
      <c r="K451" s="1736"/>
      <c r="L451" s="1736"/>
      <c r="M451" s="1736"/>
      <c r="N451" s="1736"/>
      <c r="O451" s="1736"/>
      <c r="P451" s="1736"/>
      <c r="Q451" s="1736"/>
      <c r="R451" s="1736"/>
      <c r="S451" s="1736"/>
      <c r="T451" s="1736"/>
      <c r="U451" s="1736"/>
      <c r="V451" s="1736"/>
      <c r="W451" s="1736"/>
      <c r="X451" s="1736"/>
      <c r="Y451" s="1736"/>
      <c r="Z451" s="1736"/>
      <c r="AA451" s="1736"/>
      <c r="AB451" s="1736"/>
      <c r="AC451" s="1736"/>
      <c r="AD451" s="1736"/>
      <c r="AE451" s="1736"/>
      <c r="AF451" s="1736"/>
      <c r="AG451" s="1736"/>
      <c r="AH451" s="1736"/>
      <c r="AI451" s="1736"/>
      <c r="AJ451" s="1736"/>
      <c r="AZ451" s="3"/>
      <c r="BA451" s="3"/>
      <c r="BB451" s="3"/>
      <c r="BC451" s="3"/>
    </row>
    <row r="452" spans="1:55" ht="12.95" customHeight="1">
      <c r="D452" s="1737"/>
      <c r="E452" s="1737"/>
      <c r="F452" s="1737"/>
      <c r="G452" s="1737"/>
      <c r="H452" s="1737"/>
      <c r="I452" s="1737"/>
      <c r="J452" s="1737"/>
      <c r="K452" s="1737"/>
      <c r="L452" s="1737"/>
      <c r="M452" s="1737"/>
      <c r="N452" s="1737"/>
      <c r="O452" s="1737"/>
      <c r="P452" s="1737"/>
      <c r="Q452" s="1737"/>
      <c r="R452" s="1737"/>
      <c r="S452" s="1737"/>
      <c r="T452" s="1737"/>
      <c r="U452" s="1737"/>
      <c r="V452" s="1737"/>
      <c r="W452" s="1737"/>
      <c r="X452" s="1737"/>
      <c r="Y452" s="1737"/>
      <c r="Z452" s="1737"/>
      <c r="AA452" s="1737"/>
      <c r="AB452" s="1737"/>
      <c r="AC452" s="1737"/>
      <c r="AD452" s="1737"/>
      <c r="AE452" s="1737"/>
      <c r="AF452" s="1737"/>
      <c r="AG452" s="1737"/>
      <c r="AH452" s="1737"/>
      <c r="AI452" s="1737"/>
      <c r="AJ452" s="1737"/>
      <c r="AZ452" s="3"/>
      <c r="BA452" s="3"/>
      <c r="BB452" s="3"/>
      <c r="BC452" s="3"/>
    </row>
    <row r="453" spans="1:55" ht="12.95"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2.95" customHeight="1">
      <c r="D454" s="205" t="s">
        <v>814</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806">
        <f>IF(AG437=0,"",'Sources and Uses Budget'!B105/Application!AG437)</f>
        <v>332092.3713235294</v>
      </c>
      <c r="AD454" s="1806"/>
      <c r="AE454" s="1806"/>
      <c r="AF454" s="1806"/>
      <c r="AG454" s="177"/>
      <c r="AH454" s="177"/>
      <c r="AI454" s="177"/>
      <c r="AJ454" s="183"/>
      <c r="AZ454" s="3"/>
      <c r="BA454" s="3" t="str">
        <f>AG575</f>
        <v>Yes</v>
      </c>
      <c r="BB454" s="3"/>
      <c r="BC454" s="3"/>
    </row>
    <row r="455" spans="1:55" ht="12.95" customHeight="1">
      <c r="D455" s="205" t="s">
        <v>815</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806">
        <f>IF(AG437=0,"",'Sources and Uses Budget'!C105/Application!AG437)</f>
        <v>332092.3713235294</v>
      </c>
      <c r="AD455" s="1806"/>
      <c r="AE455" s="1806"/>
      <c r="AF455" s="1806"/>
      <c r="AG455" s="177"/>
      <c r="AH455" s="177"/>
      <c r="AI455" s="177"/>
      <c r="AJ455" s="183"/>
      <c r="AZ455" s="3"/>
      <c r="BA455" s="3"/>
      <c r="BB455" s="3"/>
      <c r="BC455" s="3"/>
    </row>
    <row r="456" spans="1:55" ht="12.95" customHeight="1">
      <c r="D456" s="205" t="s">
        <v>863</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806">
        <f>IF(AG437=0,"",('Sources and Uses Budget'!$S$107+'Sources and Uses Budget'!$T$107)/Application!AG437)</f>
        <v>310598.0882352941</v>
      </c>
      <c r="AD456" s="1806"/>
      <c r="AE456" s="1806"/>
      <c r="AF456" s="1806"/>
      <c r="AG456" s="177"/>
      <c r="AH456" s="177"/>
      <c r="AI456" s="177"/>
      <c r="AJ456" s="183"/>
      <c r="AZ456" s="3"/>
      <c r="BA456" s="3"/>
      <c r="BB456" s="3"/>
      <c r="BC456" s="3"/>
    </row>
    <row r="457" spans="1:55" ht="12.95" customHeight="1">
      <c r="D457" s="177"/>
      <c r="E457" s="177"/>
      <c r="F457" s="1726" t="str">
        <f>IFERROR(IF(AC454&gt;650000,"Please provide a justification of cost per unit in Tab 12 for all projects with per unit costs of greater than $650,000.",""),"")</f>
        <v/>
      </c>
      <c r="G457" s="1726"/>
      <c r="H457" s="1726"/>
      <c r="I457" s="1726"/>
      <c r="J457" s="1726"/>
      <c r="K457" s="1726"/>
      <c r="L457" s="1726"/>
      <c r="M457" s="1726"/>
      <c r="N457" s="1726"/>
      <c r="O457" s="1726"/>
      <c r="P457" s="1726"/>
      <c r="Q457" s="1726"/>
      <c r="R457" s="1726"/>
      <c r="S457" s="1726"/>
      <c r="T457" s="1726"/>
      <c r="U457" s="1726"/>
      <c r="V457" s="1726"/>
      <c r="W457" s="1726"/>
      <c r="X457" s="1726"/>
      <c r="Y457" s="1726"/>
      <c r="Z457" s="1726"/>
      <c r="AA457" s="1726"/>
      <c r="AB457" s="1726"/>
      <c r="AC457" s="515"/>
      <c r="AD457" s="177"/>
      <c r="AE457" s="177"/>
      <c r="AF457" s="177"/>
      <c r="AG457" s="177"/>
      <c r="AH457" s="177"/>
      <c r="AI457" s="177"/>
      <c r="AJ457" s="183"/>
      <c r="AZ457" s="3"/>
      <c r="BA457" s="3"/>
      <c r="BB457" s="3"/>
      <c r="BC457" s="3"/>
    </row>
    <row r="458" spans="1:55" ht="12.95" customHeight="1">
      <c r="A458" s="2"/>
      <c r="D458" s="2"/>
      <c r="E458" s="177"/>
      <c r="F458" s="1726"/>
      <c r="G458" s="1726"/>
      <c r="H458" s="1726"/>
      <c r="I458" s="1726"/>
      <c r="J458" s="1726"/>
      <c r="K458" s="1726"/>
      <c r="L458" s="1726"/>
      <c r="M458" s="1726"/>
      <c r="N458" s="1726"/>
      <c r="O458" s="1726"/>
      <c r="P458" s="1726"/>
      <c r="Q458" s="1726"/>
      <c r="R458" s="1726"/>
      <c r="S458" s="1726"/>
      <c r="T458" s="1726"/>
      <c r="U458" s="1726"/>
      <c r="V458" s="1726"/>
      <c r="W458" s="1726"/>
      <c r="X458" s="1726"/>
      <c r="Y458" s="1726"/>
      <c r="Z458" s="1726"/>
      <c r="AA458" s="1726"/>
      <c r="AB458" s="1726"/>
      <c r="AC458" s="177"/>
      <c r="AD458" s="177"/>
      <c r="AE458" s="177"/>
      <c r="AF458" s="177"/>
      <c r="AG458" s="177"/>
      <c r="AH458" s="177"/>
      <c r="AI458" s="177"/>
      <c r="AJ458" s="183"/>
      <c r="AZ458" s="3"/>
      <c r="BA458" s="3"/>
      <c r="BB458" s="3"/>
      <c r="BC458" s="3"/>
    </row>
    <row r="459" spans="1:55" ht="12.95" customHeight="1">
      <c r="A459" s="2" t="s">
        <v>613</v>
      </c>
      <c r="D459" s="2" t="s">
        <v>247</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2.95" customHeight="1">
      <c r="D460" s="184" t="s">
        <v>1875</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2.95" customHeight="1">
      <c r="D461" s="184" t="s">
        <v>1876</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2.95" customHeight="1">
      <c r="D462" s="184" t="s">
        <v>1877</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2.95"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2.95" customHeight="1">
      <c r="A464" s="3"/>
      <c r="B464" s="3"/>
      <c r="C464" s="3"/>
      <c r="D464" s="185" t="s">
        <v>692</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2.95" customHeight="1">
      <c r="A465" s="3"/>
      <c r="B465" s="3"/>
      <c r="C465" s="3"/>
      <c r="D465" s="1770" t="s">
        <v>2099</v>
      </c>
      <c r="E465" s="1744"/>
      <c r="F465" s="1744"/>
      <c r="G465" s="1744"/>
      <c r="H465" s="1744"/>
      <c r="I465" s="1744"/>
      <c r="J465" s="1744"/>
      <c r="K465" s="1744"/>
      <c r="L465" s="1744"/>
      <c r="M465" s="1744"/>
      <c r="N465" s="1744"/>
      <c r="O465" s="1744"/>
      <c r="P465" s="1744"/>
      <c r="Q465" s="1744"/>
      <c r="R465" s="1744"/>
      <c r="S465" s="1744"/>
      <c r="T465" s="1744"/>
      <c r="U465" s="1744"/>
      <c r="V465" s="1745"/>
      <c r="W465" s="1750">
        <v>0</v>
      </c>
      <c r="X465" s="1751"/>
      <c r="Y465" s="1752"/>
      <c r="Z465" s="184"/>
      <c r="AA465" s="184"/>
      <c r="AB465" s="184"/>
      <c r="AC465" s="184"/>
      <c r="AD465" s="177"/>
      <c r="AE465" s="177"/>
      <c r="AF465" s="177"/>
      <c r="AG465" s="177"/>
      <c r="AH465" s="177"/>
      <c r="AI465" s="177"/>
      <c r="AJ465" s="183"/>
      <c r="AZ465" s="3"/>
      <c r="BA465" s="3"/>
      <c r="BB465" s="3"/>
      <c r="BC465" s="3"/>
    </row>
    <row r="466" spans="1:55" ht="12.95" customHeight="1">
      <c r="A466" s="3"/>
      <c r="B466" s="3"/>
      <c r="C466" s="3"/>
      <c r="D466" s="1743" t="s">
        <v>693</v>
      </c>
      <c r="E466" s="1744"/>
      <c r="F466" s="1744"/>
      <c r="G466" s="1744"/>
      <c r="H466" s="1744"/>
      <c r="I466" s="1744"/>
      <c r="J466" s="1744"/>
      <c r="K466" s="1744"/>
      <c r="L466" s="1744"/>
      <c r="M466" s="1744"/>
      <c r="N466" s="1744"/>
      <c r="O466" s="1744"/>
      <c r="P466" s="1744"/>
      <c r="Q466" s="1744"/>
      <c r="R466" s="1744"/>
      <c r="S466" s="1744"/>
      <c r="T466" s="1744"/>
      <c r="U466" s="1744"/>
      <c r="V466" s="1745"/>
      <c r="W466" s="1750">
        <v>0</v>
      </c>
      <c r="X466" s="1751"/>
      <c r="Y466" s="1752"/>
      <c r="Z466" s="184"/>
      <c r="AA466" s="184"/>
      <c r="AB466" s="184"/>
      <c r="AC466" s="184"/>
      <c r="AD466" s="177"/>
      <c r="AE466" s="177"/>
      <c r="AF466" s="177"/>
      <c r="AG466" s="177"/>
      <c r="AH466" s="177"/>
      <c r="AI466" s="177"/>
      <c r="AJ466" s="183"/>
      <c r="AZ466" s="3"/>
      <c r="BA466" s="3"/>
      <c r="BB466" s="3"/>
      <c r="BC466" s="3"/>
    </row>
    <row r="467" spans="1:55" ht="12.95" customHeight="1">
      <c r="A467" s="3"/>
      <c r="B467" s="3"/>
      <c r="C467" s="3"/>
      <c r="D467" s="1743" t="s">
        <v>694</v>
      </c>
      <c r="E467" s="1744"/>
      <c r="F467" s="1744"/>
      <c r="G467" s="1744"/>
      <c r="H467" s="1744"/>
      <c r="I467" s="1744"/>
      <c r="J467" s="1744"/>
      <c r="K467" s="1744"/>
      <c r="L467" s="1744"/>
      <c r="M467" s="1744"/>
      <c r="N467" s="1744"/>
      <c r="O467" s="1744"/>
      <c r="P467" s="1744"/>
      <c r="Q467" s="1744"/>
      <c r="R467" s="1744"/>
      <c r="S467" s="1744"/>
      <c r="T467" s="1744"/>
      <c r="U467" s="1744"/>
      <c r="V467" s="1745"/>
      <c r="W467" s="1750">
        <v>0</v>
      </c>
      <c r="X467" s="1751"/>
      <c r="Y467" s="1752"/>
      <c r="Z467" s="184"/>
      <c r="AA467" s="184"/>
      <c r="AB467" s="184"/>
      <c r="AC467" s="184"/>
      <c r="AD467" s="177"/>
      <c r="AE467" s="177"/>
      <c r="AF467" s="177"/>
      <c r="AG467" s="177"/>
      <c r="AH467" s="177"/>
      <c r="AI467" s="177"/>
      <c r="AJ467" s="183"/>
      <c r="AZ467" s="3"/>
      <c r="BA467" s="3"/>
      <c r="BB467" s="3"/>
      <c r="BC467" s="3"/>
    </row>
    <row r="468" spans="1:55" ht="12.95" customHeight="1">
      <c r="A468" s="3"/>
      <c r="B468" s="3"/>
      <c r="C468" s="3"/>
      <c r="D468" s="1743" t="s">
        <v>695</v>
      </c>
      <c r="E468" s="1744"/>
      <c r="F468" s="1744"/>
      <c r="G468" s="1744"/>
      <c r="H468" s="1744"/>
      <c r="I468" s="1744"/>
      <c r="J468" s="1744"/>
      <c r="K468" s="1744"/>
      <c r="L468" s="1744"/>
      <c r="M468" s="1744"/>
      <c r="N468" s="1744"/>
      <c r="O468" s="1744"/>
      <c r="P468" s="1744"/>
      <c r="Q468" s="1744"/>
      <c r="R468" s="1744"/>
      <c r="S468" s="1744"/>
      <c r="T468" s="1744"/>
      <c r="U468" s="1744"/>
      <c r="V468" s="1745"/>
      <c r="W468" s="1750">
        <v>0</v>
      </c>
      <c r="X468" s="1751"/>
      <c r="Y468" s="1752"/>
      <c r="Z468" s="184"/>
      <c r="AA468" s="184"/>
      <c r="AB468" s="184"/>
      <c r="AC468" s="184"/>
      <c r="AD468" s="177"/>
      <c r="AE468" s="177"/>
      <c r="AF468" s="177"/>
      <c r="AG468" s="177"/>
      <c r="AH468" s="177"/>
      <c r="AI468" s="177"/>
      <c r="AJ468" s="183"/>
      <c r="AZ468" s="3"/>
      <c r="BA468" s="3"/>
      <c r="BB468" s="3"/>
      <c r="BC468" s="3"/>
    </row>
    <row r="469" spans="1:55" ht="12.95" customHeight="1">
      <c r="A469" s="3"/>
      <c r="B469" s="3"/>
      <c r="C469" s="3"/>
      <c r="D469" s="1743" t="s">
        <v>881</v>
      </c>
      <c r="E469" s="1744"/>
      <c r="F469" s="1744"/>
      <c r="G469" s="1744"/>
      <c r="H469" s="1744"/>
      <c r="I469" s="1744"/>
      <c r="J469" s="1744"/>
      <c r="K469" s="1744"/>
      <c r="L469" s="1744"/>
      <c r="M469" s="1744"/>
      <c r="N469" s="1744"/>
      <c r="O469" s="1744"/>
      <c r="P469" s="1744"/>
      <c r="Q469" s="1744"/>
      <c r="R469" s="1744"/>
      <c r="S469" s="1744"/>
      <c r="T469" s="1744"/>
      <c r="U469" s="1744"/>
      <c r="V469" s="1745"/>
      <c r="W469" s="1750">
        <v>0</v>
      </c>
      <c r="X469" s="1751"/>
      <c r="Y469" s="1752"/>
      <c r="Z469" s="184"/>
      <c r="AA469" s="184"/>
      <c r="AB469" s="184"/>
      <c r="AC469" s="184"/>
      <c r="AD469" s="177"/>
      <c r="AE469" s="177"/>
      <c r="AF469" s="177"/>
      <c r="AG469" s="177"/>
      <c r="AH469" s="177"/>
      <c r="AI469" s="177"/>
      <c r="AJ469" s="183"/>
      <c r="AZ469" s="3"/>
      <c r="BA469" s="3" t="str">
        <f>N591</f>
        <v>Yes</v>
      </c>
      <c r="BB469" s="3"/>
      <c r="BC469" s="3"/>
    </row>
    <row r="470" spans="1:55" ht="12.95" customHeight="1">
      <c r="A470" s="3"/>
      <c r="B470" s="3"/>
      <c r="C470" s="3"/>
      <c r="D470" s="1743" t="s">
        <v>696</v>
      </c>
      <c r="E470" s="1744"/>
      <c r="F470" s="1744"/>
      <c r="G470" s="1744"/>
      <c r="H470" s="1744"/>
      <c r="I470" s="1744"/>
      <c r="J470" s="1744"/>
      <c r="K470" s="1744"/>
      <c r="L470" s="1744"/>
      <c r="M470" s="1744"/>
      <c r="N470" s="1744"/>
      <c r="O470" s="1744"/>
      <c r="P470" s="1744"/>
      <c r="Q470" s="1744"/>
      <c r="R470" s="1744"/>
      <c r="S470" s="1744"/>
      <c r="T470" s="1744"/>
      <c r="U470" s="1744"/>
      <c r="V470" s="1745"/>
      <c r="W470" s="1750">
        <v>0</v>
      </c>
      <c r="X470" s="1751"/>
      <c r="Y470" s="1752"/>
      <c r="Z470" s="184"/>
      <c r="AA470" s="184"/>
      <c r="AB470" s="184"/>
      <c r="AC470" s="184"/>
      <c r="AD470" s="177"/>
      <c r="AE470" s="177"/>
      <c r="AF470" s="177"/>
      <c r="AG470" s="177"/>
      <c r="AH470" s="177"/>
      <c r="AI470" s="177"/>
      <c r="AJ470" s="183"/>
      <c r="AZ470" s="3"/>
      <c r="BA470" s="3" t="str">
        <f>AG591</f>
        <v>Yes</v>
      </c>
      <c r="BB470" s="3"/>
      <c r="BC470" s="3"/>
    </row>
    <row r="471" spans="1:55" ht="12.95" customHeight="1">
      <c r="A471" s="3"/>
      <c r="B471" s="3"/>
      <c r="C471" s="3"/>
      <c r="D471" s="1743" t="s">
        <v>1011</v>
      </c>
      <c r="E471" s="1744"/>
      <c r="F471" s="1744"/>
      <c r="G471" s="1744"/>
      <c r="H471" s="1744"/>
      <c r="I471" s="1744"/>
      <c r="J471" s="1744"/>
      <c r="K471" s="1744"/>
      <c r="L471" s="1744"/>
      <c r="M471" s="1744"/>
      <c r="N471" s="1744"/>
      <c r="O471" s="1744"/>
      <c r="P471" s="1744"/>
      <c r="Q471" s="1744"/>
      <c r="R471" s="1744"/>
      <c r="S471" s="1744"/>
      <c r="T471" s="1744"/>
      <c r="U471" s="1744"/>
      <c r="V471" s="1745"/>
      <c r="W471" s="1750">
        <v>0</v>
      </c>
      <c r="X471" s="1751"/>
      <c r="Y471" s="1752"/>
      <c r="Z471" s="184"/>
      <c r="AA471" s="184"/>
      <c r="AB471" s="184"/>
      <c r="AC471" s="184"/>
      <c r="AD471" s="177"/>
      <c r="AE471" s="177"/>
      <c r="AF471" s="177"/>
      <c r="AG471" s="177"/>
      <c r="AH471" s="177"/>
      <c r="AI471" s="177"/>
      <c r="AJ471" s="183"/>
      <c r="AZ471" s="3"/>
      <c r="BA471" s="3"/>
      <c r="BB471" s="3"/>
      <c r="BC471" s="3"/>
    </row>
    <row r="472" spans="1:55" ht="12.95" customHeight="1">
      <c r="A472" s="3"/>
      <c r="B472" s="3"/>
      <c r="C472" s="3"/>
      <c r="D472" s="1770" t="s">
        <v>2190</v>
      </c>
      <c r="E472" s="1847"/>
      <c r="F472" s="1847"/>
      <c r="G472" s="1847"/>
      <c r="H472" s="1847"/>
      <c r="I472" s="1847"/>
      <c r="J472" s="1847"/>
      <c r="K472" s="1847"/>
      <c r="L472" s="1847"/>
      <c r="M472" s="1847"/>
      <c r="N472" s="1847"/>
      <c r="O472" s="1847"/>
      <c r="P472" s="1847"/>
      <c r="Q472" s="1847"/>
      <c r="R472" s="1847"/>
      <c r="S472" s="1847"/>
      <c r="T472" s="1847"/>
      <c r="U472" s="1847"/>
      <c r="V472" s="1848"/>
      <c r="W472" s="1750">
        <v>0</v>
      </c>
      <c r="X472" s="1751"/>
      <c r="Y472" s="1752"/>
      <c r="Z472" s="184"/>
      <c r="AA472" s="184"/>
      <c r="AB472" s="184"/>
      <c r="AC472" s="184"/>
      <c r="AD472" s="177"/>
      <c r="AE472" s="177"/>
      <c r="AF472" s="177"/>
      <c r="AG472" s="177"/>
      <c r="AH472" s="177"/>
      <c r="AI472" s="177"/>
      <c r="AJ472" s="183"/>
      <c r="AZ472" s="3"/>
      <c r="BA472" s="3"/>
      <c r="BB472" s="3"/>
      <c r="BC472" s="3"/>
    </row>
    <row r="473" spans="1:55" ht="12.95" customHeight="1">
      <c r="A473" s="3"/>
      <c r="B473" s="3"/>
      <c r="C473" s="3"/>
      <c r="D473" s="1770" t="s">
        <v>1653</v>
      </c>
      <c r="E473" s="1744"/>
      <c r="F473" s="1744"/>
      <c r="G473" s="1744"/>
      <c r="H473" s="1744"/>
      <c r="I473" s="1744"/>
      <c r="J473" s="1744"/>
      <c r="K473" s="1744"/>
      <c r="L473" s="1744"/>
      <c r="M473" s="1744"/>
      <c r="N473" s="1744"/>
      <c r="O473" s="1744"/>
      <c r="P473" s="1744"/>
      <c r="Q473" s="1744"/>
      <c r="R473" s="1744"/>
      <c r="S473" s="1744"/>
      <c r="T473" s="1744"/>
      <c r="U473" s="1744"/>
      <c r="V473" s="1745"/>
      <c r="W473" s="1750">
        <v>0</v>
      </c>
      <c r="X473" s="1751"/>
      <c r="Y473" s="1752"/>
      <c r="Z473" s="184"/>
      <c r="AA473" s="184"/>
      <c r="AB473" s="184"/>
      <c r="AC473" s="184"/>
      <c r="AD473" s="177"/>
      <c r="AE473" s="177"/>
      <c r="AF473" s="177"/>
      <c r="AG473" s="177"/>
      <c r="AH473" s="177"/>
      <c r="AI473" s="177"/>
      <c r="AJ473" s="183"/>
      <c r="AZ473" s="3"/>
      <c r="BA473" s="3"/>
      <c r="BB473" s="3"/>
      <c r="BC473" s="3"/>
    </row>
    <row r="474" spans="1:55" ht="12.95" customHeight="1">
      <c r="A474" s="3"/>
      <c r="B474" s="3"/>
      <c r="C474" s="3"/>
      <c r="D474" s="243" t="s">
        <v>169</v>
      </c>
      <c r="E474" s="244"/>
      <c r="F474" s="245"/>
      <c r="G474" s="1757"/>
      <c r="H474" s="1758"/>
      <c r="I474" s="1758"/>
      <c r="J474" s="1758"/>
      <c r="K474" s="1758"/>
      <c r="L474" s="1758"/>
      <c r="M474" s="1758"/>
      <c r="N474" s="1758"/>
      <c r="O474" s="1758"/>
      <c r="P474" s="1758"/>
      <c r="Q474" s="1758"/>
      <c r="R474" s="1758"/>
      <c r="S474" s="1758"/>
      <c r="T474" s="1758"/>
      <c r="U474" s="1758"/>
      <c r="V474" s="1759"/>
      <c r="W474" s="1750">
        <v>0</v>
      </c>
      <c r="X474" s="1751"/>
      <c r="Y474" s="1752"/>
      <c r="Z474" s="184"/>
      <c r="AA474" s="184"/>
      <c r="AB474" s="184"/>
      <c r="AC474" s="184"/>
      <c r="AD474" s="177"/>
      <c r="AE474" s="177"/>
      <c r="AF474" s="177"/>
      <c r="AG474" s="177"/>
      <c r="AH474" s="177"/>
      <c r="AI474" s="177"/>
      <c r="AJ474" s="183"/>
      <c r="AZ474" s="3"/>
      <c r="BA474" s="3"/>
      <c r="BB474" s="3"/>
      <c r="BC474" s="3"/>
    </row>
    <row r="475" spans="1:55" ht="12.95" customHeight="1">
      <c r="A475" s="3"/>
      <c r="B475" s="3"/>
      <c r="C475" s="3"/>
      <c r="D475" s="246" t="s">
        <v>882</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2.95"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2.95"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2.95"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Yes</v>
      </c>
      <c r="BB478" s="3"/>
      <c r="BC478" s="3"/>
    </row>
    <row r="479" spans="1:55" ht="12.95" customHeight="1">
      <c r="AU479" s="95"/>
      <c r="AV479" s="95"/>
      <c r="AW479" s="95"/>
      <c r="AX479" s="95"/>
      <c r="AY479" s="95"/>
      <c r="AZ479" s="3"/>
      <c r="BA479" s="3">
        <f>AG599</f>
        <v>0</v>
      </c>
      <c r="BB479" s="3"/>
      <c r="BC479" s="3"/>
    </row>
    <row r="480" spans="1:55" ht="12.95" customHeight="1">
      <c r="A480" s="1365" t="s">
        <v>810</v>
      </c>
      <c r="B480" s="1365"/>
      <c r="C480" s="1365"/>
      <c r="D480" s="1365"/>
      <c r="E480" s="1365"/>
      <c r="F480" s="1365"/>
      <c r="G480" s="1365"/>
      <c r="H480" s="1365"/>
      <c r="I480" s="1365"/>
      <c r="J480" s="1365"/>
      <c r="K480" s="1365"/>
      <c r="L480" s="1365"/>
      <c r="M480" s="1365"/>
      <c r="N480" s="1365"/>
      <c r="O480" s="1365"/>
      <c r="P480" s="1365"/>
      <c r="Q480" s="1365"/>
      <c r="R480" s="1365"/>
      <c r="S480" s="1365"/>
      <c r="T480" s="1365"/>
      <c r="U480" s="1365"/>
      <c r="V480" s="1365"/>
      <c r="W480" s="1365"/>
      <c r="X480" s="1365"/>
      <c r="Y480" s="1365"/>
      <c r="Z480" s="1365"/>
      <c r="AA480" s="1365"/>
      <c r="AB480" s="1365"/>
      <c r="AC480" s="1365"/>
      <c r="AD480" s="1365"/>
      <c r="AE480" s="1365"/>
      <c r="AF480" s="1365"/>
      <c r="AG480" s="1365"/>
      <c r="AH480" s="1365"/>
      <c r="AI480" s="1365"/>
      <c r="AJ480" s="1365"/>
      <c r="AK480" s="1365"/>
      <c r="AL480" s="1365"/>
      <c r="AM480" s="1365"/>
      <c r="AN480" s="1365"/>
      <c r="AO480" s="1365"/>
      <c r="AP480" s="1365"/>
      <c r="AQ480" s="1365"/>
      <c r="AR480" s="1365"/>
      <c r="AS480" s="1365"/>
      <c r="AT480" s="1365"/>
      <c r="AU480" s="95"/>
      <c r="AV480" s="95"/>
      <c r="AW480" s="95"/>
      <c r="AX480" s="95"/>
      <c r="AY480" s="95"/>
      <c r="AZ480" s="3"/>
      <c r="BB480" s="3"/>
      <c r="BC480" s="3"/>
    </row>
    <row r="481" spans="1:55" ht="12.95" customHeight="1">
      <c r="A481" s="1365"/>
      <c r="B481" s="1365"/>
      <c r="C481" s="1365"/>
      <c r="D481" s="1365"/>
      <c r="E481" s="1365"/>
      <c r="F481" s="1365"/>
      <c r="G481" s="1365"/>
      <c r="H481" s="1365"/>
      <c r="I481" s="1365"/>
      <c r="J481" s="1365"/>
      <c r="K481" s="1365"/>
      <c r="L481" s="1365"/>
      <c r="M481" s="1365"/>
      <c r="N481" s="1365"/>
      <c r="O481" s="1365"/>
      <c r="P481" s="1365"/>
      <c r="Q481" s="1365"/>
      <c r="R481" s="1365"/>
      <c r="S481" s="1365"/>
      <c r="T481" s="1365"/>
      <c r="U481" s="1365"/>
      <c r="V481" s="1365"/>
      <c r="W481" s="1365"/>
      <c r="X481" s="1365"/>
      <c r="Y481" s="1365"/>
      <c r="Z481" s="1365"/>
      <c r="AA481" s="1365"/>
      <c r="AB481" s="1365"/>
      <c r="AC481" s="1365"/>
      <c r="AD481" s="1365"/>
      <c r="AE481" s="1365"/>
      <c r="AF481" s="1365"/>
      <c r="AG481" s="1365"/>
      <c r="AH481" s="1365"/>
      <c r="AI481" s="1365"/>
      <c r="AJ481" s="1365"/>
      <c r="AK481" s="1365"/>
      <c r="AL481" s="1365"/>
      <c r="AM481" s="1365"/>
      <c r="AN481" s="1365"/>
      <c r="AO481" s="1365"/>
      <c r="AP481" s="1365"/>
      <c r="AQ481" s="1365"/>
      <c r="AR481" s="1365"/>
      <c r="AS481" s="1365"/>
      <c r="AT481" s="1365"/>
      <c r="AZ481" s="3"/>
      <c r="BB481" s="3"/>
      <c r="BC481" s="3"/>
    </row>
    <row r="482" spans="1:55" ht="12.95" customHeight="1">
      <c r="AZ482" s="3"/>
      <c r="BB482" s="3"/>
      <c r="BC482" s="3"/>
    </row>
    <row r="483" spans="1:55" ht="12.95" customHeight="1">
      <c r="A483" s="2" t="s">
        <v>318</v>
      </c>
      <c r="C483" s="2" t="s">
        <v>808</v>
      </c>
      <c r="AZ483" s="3"/>
      <c r="BB483" s="3"/>
      <c r="BC483" s="3"/>
    </row>
    <row r="484" spans="1:55" ht="12.95" customHeight="1">
      <c r="AZ484" s="3"/>
      <c r="BB484" s="3"/>
      <c r="BC484" s="3"/>
    </row>
    <row r="485" spans="1:55" ht="12.95" customHeight="1">
      <c r="B485" s="45"/>
      <c r="C485" s="5"/>
      <c r="D485" s="5"/>
      <c r="E485" s="5"/>
      <c r="F485" s="5"/>
      <c r="G485" s="5"/>
      <c r="H485" s="5"/>
      <c r="I485" s="5"/>
      <c r="J485" s="5"/>
      <c r="K485" s="5"/>
      <c r="L485" s="5"/>
      <c r="M485" s="5"/>
      <c r="N485" s="5"/>
      <c r="O485" s="5"/>
      <c r="P485" s="46"/>
      <c r="Q485" s="1747" t="s">
        <v>392</v>
      </c>
      <c r="R485" s="1748"/>
      <c r="S485" s="1748"/>
      <c r="T485" s="1748"/>
      <c r="U485" s="1748"/>
      <c r="V485" s="1748"/>
      <c r="W485" s="1748"/>
      <c r="X485" s="1748"/>
      <c r="Y485" s="1748"/>
      <c r="Z485" s="1748"/>
      <c r="AA485" s="1748"/>
      <c r="AB485" s="1748"/>
      <c r="AC485" s="1748"/>
      <c r="AD485" s="1748"/>
      <c r="AE485" s="1748"/>
      <c r="AF485" s="1748"/>
      <c r="AG485" s="1748"/>
      <c r="AH485" s="1748"/>
      <c r="AI485" s="1748"/>
      <c r="AJ485" s="1748"/>
      <c r="AK485" s="1749"/>
      <c r="AZ485" s="3"/>
      <c r="BB485" s="3"/>
      <c r="BC485" s="3"/>
    </row>
    <row r="486" spans="1:55" ht="12.95" customHeight="1">
      <c r="B486" s="45" t="s">
        <v>393</v>
      </c>
      <c r="C486" s="5"/>
      <c r="D486" s="5"/>
      <c r="E486" s="5"/>
      <c r="F486" s="5"/>
      <c r="G486" s="5"/>
      <c r="H486" s="5"/>
      <c r="I486" s="5"/>
      <c r="J486" s="5"/>
      <c r="K486" s="5"/>
      <c r="L486" s="5"/>
      <c r="M486" s="5"/>
      <c r="N486" s="5"/>
      <c r="O486" s="5"/>
      <c r="P486" s="5"/>
      <c r="Q486" s="1588" t="s">
        <v>2685</v>
      </c>
      <c r="R486" s="1397"/>
      <c r="S486" s="1397"/>
      <c r="T486" s="1397"/>
      <c r="U486" s="1397"/>
      <c r="V486" s="1397"/>
      <c r="W486" s="1397"/>
      <c r="X486" s="1397"/>
      <c r="Y486" s="1397"/>
      <c r="Z486" s="1397"/>
      <c r="AA486" s="1397"/>
      <c r="AB486" s="1397"/>
      <c r="AC486" s="1397"/>
      <c r="AD486" s="1397"/>
      <c r="AE486" s="1397"/>
      <c r="AF486" s="1397"/>
      <c r="AG486" s="1397"/>
      <c r="AH486" s="1397"/>
      <c r="AI486" s="1397"/>
      <c r="AJ486" s="1397"/>
      <c r="AK486" s="1589"/>
      <c r="AZ486" s="3"/>
      <c r="BB486" s="3"/>
      <c r="BC486" s="3"/>
    </row>
    <row r="487" spans="1:55" ht="12.95" customHeight="1">
      <c r="B487" s="45" t="s">
        <v>394</v>
      </c>
      <c r="C487" s="5"/>
      <c r="D487" s="5"/>
      <c r="E487" s="5"/>
      <c r="F487" s="5"/>
      <c r="G487" s="5"/>
      <c r="H487" s="5"/>
      <c r="I487" s="5"/>
      <c r="J487" s="5"/>
      <c r="K487" s="5"/>
      <c r="L487" s="5"/>
      <c r="M487" s="5"/>
      <c r="N487" s="5"/>
      <c r="O487" s="5"/>
      <c r="P487" s="5"/>
      <c r="Q487" s="1588" t="s">
        <v>2687</v>
      </c>
      <c r="R487" s="1397"/>
      <c r="S487" s="1397"/>
      <c r="T487" s="1397"/>
      <c r="U487" s="1397"/>
      <c r="V487" s="1397"/>
      <c r="W487" s="1397"/>
      <c r="X487" s="1397"/>
      <c r="Y487" s="1397"/>
      <c r="Z487" s="1397"/>
      <c r="AA487" s="1397"/>
      <c r="AB487" s="1397"/>
      <c r="AC487" s="1397"/>
      <c r="AD487" s="1397"/>
      <c r="AE487" s="1397"/>
      <c r="AF487" s="1397"/>
      <c r="AG487" s="1397"/>
      <c r="AH487" s="1397"/>
      <c r="AI487" s="1397"/>
      <c r="AJ487" s="1397"/>
      <c r="AK487" s="1589"/>
      <c r="AZ487" s="3"/>
      <c r="BB487" s="3"/>
      <c r="BC487" s="3"/>
    </row>
    <row r="488" spans="1:55" ht="12.95" customHeight="1">
      <c r="B488" s="45" t="s">
        <v>395</v>
      </c>
      <c r="C488" s="5"/>
      <c r="D488" s="5"/>
      <c r="E488" s="5"/>
      <c r="F488" s="5"/>
      <c r="G488" s="5"/>
      <c r="H488" s="5"/>
      <c r="I488" s="5"/>
      <c r="J488" s="5"/>
      <c r="K488" s="5"/>
      <c r="L488" s="5"/>
      <c r="M488" s="5"/>
      <c r="N488" s="5"/>
      <c r="O488" s="5"/>
      <c r="P488" s="5"/>
      <c r="Q488" s="1588" t="s">
        <v>2688</v>
      </c>
      <c r="R488" s="1397"/>
      <c r="S488" s="1397"/>
      <c r="T488" s="1397"/>
      <c r="U488" s="1397"/>
      <c r="V488" s="1397"/>
      <c r="W488" s="1397"/>
      <c r="X488" s="1397"/>
      <c r="Y488" s="1397"/>
      <c r="Z488" s="1397"/>
      <c r="AA488" s="1397"/>
      <c r="AB488" s="1397"/>
      <c r="AC488" s="1397"/>
      <c r="AD488" s="1397"/>
      <c r="AE488" s="1397"/>
      <c r="AF488" s="1397"/>
      <c r="AG488" s="1397"/>
      <c r="AH488" s="1397"/>
      <c r="AI488" s="1397"/>
      <c r="AJ488" s="1397"/>
      <c r="AK488" s="1589"/>
      <c r="AZ488" s="3"/>
      <c r="BA488" s="3"/>
      <c r="BB488" s="3"/>
      <c r="BC488" s="3"/>
    </row>
    <row r="489" spans="1:55" ht="12.95" customHeight="1">
      <c r="B489" s="1827" t="s">
        <v>396</v>
      </c>
      <c r="C489" s="1828"/>
      <c r="D489" s="1828"/>
      <c r="E489" s="1828"/>
      <c r="F489" s="1828"/>
      <c r="G489" s="1828"/>
      <c r="H489" s="1828"/>
      <c r="I489" s="1828"/>
      <c r="J489" s="1828"/>
      <c r="K489" s="1828"/>
      <c r="L489" s="1828"/>
      <c r="M489" s="1828"/>
      <c r="N489" s="1828"/>
      <c r="O489" s="1828"/>
      <c r="P489" s="1829"/>
      <c r="Q489" s="1833" t="s">
        <v>545</v>
      </c>
      <c r="R489" s="1834"/>
      <c r="S489" s="1764" t="s">
        <v>2686</v>
      </c>
      <c r="T489" s="1765"/>
      <c r="U489" s="1765"/>
      <c r="V489" s="1765"/>
      <c r="W489" s="1765"/>
      <c r="X489" s="1765"/>
      <c r="Y489" s="1765"/>
      <c r="Z489" s="1765"/>
      <c r="AA489" s="1765"/>
      <c r="AB489" s="1765"/>
      <c r="AC489" s="1765"/>
      <c r="AD489" s="1765"/>
      <c r="AE489" s="1765"/>
      <c r="AF489" s="1765"/>
      <c r="AG489" s="1765"/>
      <c r="AH489" s="1765"/>
      <c r="AI489" s="1765"/>
      <c r="AJ489" s="1765"/>
      <c r="AK489" s="1766"/>
      <c r="AZ489" s="3"/>
      <c r="BA489" s="3"/>
      <c r="BB489" s="3"/>
      <c r="BC489" s="3"/>
    </row>
    <row r="490" spans="1:55" ht="12.95" customHeight="1">
      <c r="B490" s="1830"/>
      <c r="C490" s="1831"/>
      <c r="D490" s="1831"/>
      <c r="E490" s="1831"/>
      <c r="F490" s="1831"/>
      <c r="G490" s="1831"/>
      <c r="H490" s="1831"/>
      <c r="I490" s="1831"/>
      <c r="J490" s="1831"/>
      <c r="K490" s="1831"/>
      <c r="L490" s="1831"/>
      <c r="M490" s="1831"/>
      <c r="N490" s="1831"/>
      <c r="O490" s="1831"/>
      <c r="P490" s="1832"/>
      <c r="Q490" s="1835"/>
      <c r="R490" s="1836"/>
      <c r="S490" s="1767"/>
      <c r="T490" s="1768"/>
      <c r="U490" s="1768"/>
      <c r="V490" s="1768"/>
      <c r="W490" s="1768"/>
      <c r="X490" s="1768"/>
      <c r="Y490" s="1768"/>
      <c r="Z490" s="1768"/>
      <c r="AA490" s="1768"/>
      <c r="AB490" s="1768"/>
      <c r="AC490" s="1768"/>
      <c r="AD490" s="1768"/>
      <c r="AE490" s="1768"/>
      <c r="AF490" s="1768"/>
      <c r="AG490" s="1768"/>
      <c r="AH490" s="1768"/>
      <c r="AI490" s="1768"/>
      <c r="AJ490" s="1768"/>
      <c r="AK490" s="1769"/>
      <c r="AZ490" s="3"/>
      <c r="BA490" s="3"/>
      <c r="BB490" s="3"/>
      <c r="BC490" s="3"/>
    </row>
    <row r="491" spans="1:55" ht="12.95" customHeight="1">
      <c r="B491" s="895" t="s">
        <v>1670</v>
      </c>
      <c r="C491" s="873"/>
      <c r="D491" s="873"/>
      <c r="E491" s="873"/>
      <c r="F491" s="873"/>
      <c r="G491" s="873"/>
      <c r="H491" s="873"/>
      <c r="I491" s="873"/>
      <c r="J491" s="873"/>
      <c r="K491" s="873"/>
      <c r="L491" s="873"/>
      <c r="M491" s="873"/>
      <c r="N491" s="873"/>
      <c r="O491" s="873"/>
      <c r="P491" s="873"/>
      <c r="Q491" s="1844" t="s">
        <v>669</v>
      </c>
      <c r="R491" s="1845"/>
      <c r="S491" s="1845"/>
      <c r="T491" s="1845"/>
      <c r="U491" s="1845"/>
      <c r="V491" s="1845"/>
      <c r="W491" s="1845"/>
      <c r="X491" s="1845"/>
      <c r="Y491" s="1845"/>
      <c r="Z491" s="1845"/>
      <c r="AA491" s="1845"/>
      <c r="AB491" s="1845"/>
      <c r="AC491" s="1845"/>
      <c r="AD491" s="1845"/>
      <c r="AE491" s="1845"/>
      <c r="AF491" s="1845"/>
      <c r="AG491" s="1845"/>
      <c r="AH491" s="1845"/>
      <c r="AI491" s="1845"/>
      <c r="AJ491" s="1845"/>
      <c r="AK491" s="1846"/>
      <c r="AZ491" s="3"/>
      <c r="BA491" s="3"/>
      <c r="BB491" s="3"/>
      <c r="BC491" s="3"/>
    </row>
    <row r="492" spans="1:55" ht="12.95" customHeight="1">
      <c r="B492" s="45" t="s">
        <v>397</v>
      </c>
      <c r="C492" s="5"/>
      <c r="D492" s="5"/>
      <c r="E492" s="5"/>
      <c r="F492" s="5"/>
      <c r="G492" s="5"/>
      <c r="H492" s="5"/>
      <c r="I492" s="5"/>
      <c r="J492" s="5"/>
      <c r="K492" s="5"/>
      <c r="L492" s="5"/>
      <c r="M492" s="5"/>
      <c r="N492" s="5"/>
      <c r="O492" s="5"/>
      <c r="P492" s="5"/>
      <c r="Q492" s="1581" t="s">
        <v>2730</v>
      </c>
      <c r="R492" s="1397"/>
      <c r="S492" s="1397"/>
      <c r="T492" s="1397"/>
      <c r="U492" s="1397"/>
      <c r="V492" s="1397"/>
      <c r="W492" s="1397"/>
      <c r="X492" s="1397"/>
      <c r="Y492" s="1397"/>
      <c r="Z492" s="1397"/>
      <c r="AA492" s="1397"/>
      <c r="AB492" s="1397"/>
      <c r="AC492" s="1397"/>
      <c r="AD492" s="1397"/>
      <c r="AE492" s="1397"/>
      <c r="AF492" s="1397"/>
      <c r="AG492" s="1397"/>
      <c r="AH492" s="1397"/>
      <c r="AI492" s="1397"/>
      <c r="AJ492" s="1397"/>
      <c r="AK492" s="1589"/>
      <c r="AZ492" s="3"/>
      <c r="BA492" s="3"/>
      <c r="BB492" s="3"/>
      <c r="BC492" s="3"/>
    </row>
    <row r="493" spans="1:55" ht="12.95" customHeight="1">
      <c r="B493" s="45" t="s">
        <v>398</v>
      </c>
      <c r="C493" s="5"/>
      <c r="D493" s="5"/>
      <c r="E493" s="5"/>
      <c r="F493" s="5"/>
      <c r="G493" s="5"/>
      <c r="H493" s="5"/>
      <c r="I493" s="5"/>
      <c r="J493" s="5"/>
      <c r="K493" s="5"/>
      <c r="L493" s="5"/>
      <c r="M493" s="5"/>
      <c r="N493" s="5"/>
      <c r="O493" s="5"/>
      <c r="P493" s="5"/>
      <c r="Q493" s="1588" t="s">
        <v>591</v>
      </c>
      <c r="R493" s="1397"/>
      <c r="S493" s="1397"/>
      <c r="T493" s="1397"/>
      <c r="U493" s="1397"/>
      <c r="V493" s="1397"/>
      <c r="W493" s="1397"/>
      <c r="X493" s="1397"/>
      <c r="Y493" s="1397"/>
      <c r="Z493" s="1397"/>
      <c r="AA493" s="1397"/>
      <c r="AB493" s="1397"/>
      <c r="AC493" s="1397"/>
      <c r="AD493" s="1397"/>
      <c r="AE493" s="1397"/>
      <c r="AF493" s="1397"/>
      <c r="AG493" s="1397"/>
      <c r="AH493" s="1397"/>
      <c r="AI493" s="1397"/>
      <c r="AJ493" s="1397"/>
      <c r="AK493" s="1589"/>
      <c r="AZ493" s="3"/>
      <c r="BA493" s="3"/>
      <c r="BB493" s="3"/>
      <c r="BC493" s="3"/>
    </row>
    <row r="494" spans="1:55" ht="12.95" customHeight="1">
      <c r="B494" s="121" t="s">
        <v>1667</v>
      </c>
      <c r="C494" s="5"/>
      <c r="D494" s="5"/>
      <c r="E494" s="5"/>
      <c r="F494" s="5"/>
      <c r="G494" s="5"/>
      <c r="H494" s="5"/>
      <c r="I494" s="5"/>
      <c r="J494" s="5"/>
      <c r="K494" s="5"/>
      <c r="L494" s="5"/>
      <c r="M494" s="5"/>
      <c r="N494" s="5"/>
      <c r="O494" s="5"/>
      <c r="P494" s="5"/>
      <c r="Q494" s="1588">
        <v>45</v>
      </c>
      <c r="R494" s="1397"/>
      <c r="S494" s="1397"/>
      <c r="T494" s="1397"/>
      <c r="U494" s="1397"/>
      <c r="V494" s="1397"/>
      <c r="W494" s="1397"/>
      <c r="X494" s="1397"/>
      <c r="Y494" s="1397"/>
      <c r="Z494" s="1397"/>
      <c r="AA494" s="1397"/>
      <c r="AB494" s="1397"/>
      <c r="AC494" s="1397"/>
      <c r="AD494" s="1397"/>
      <c r="AE494" s="1397"/>
      <c r="AF494" s="1397"/>
      <c r="AG494" s="1397"/>
      <c r="AH494" s="1397"/>
      <c r="AI494" s="1397"/>
      <c r="AJ494" s="1397"/>
      <c r="AK494" s="1589"/>
      <c r="AZ494" s="3"/>
      <c r="BA494" s="3"/>
      <c r="BB494" s="3"/>
      <c r="BC494" s="3"/>
    </row>
    <row r="495" spans="1:55" ht="12.95" customHeight="1">
      <c r="B495" s="121" t="s">
        <v>1668</v>
      </c>
      <c r="C495" s="5"/>
      <c r="D495" s="5"/>
      <c r="E495" s="5"/>
      <c r="F495" s="5"/>
      <c r="G495" s="5"/>
      <c r="H495" s="5"/>
      <c r="I495" s="5"/>
      <c r="J495" s="5"/>
      <c r="K495" s="5"/>
      <c r="L495" s="5"/>
      <c r="M495" s="1499">
        <v>45</v>
      </c>
      <c r="N495" s="1500"/>
      <c r="O495" s="1500"/>
      <c r="P495" s="1501"/>
      <c r="Q495" s="121" t="s">
        <v>1669</v>
      </c>
      <c r="R495" s="5"/>
      <c r="S495" s="5"/>
      <c r="T495" s="5"/>
      <c r="U495" s="5"/>
      <c r="V495" s="5"/>
      <c r="W495" s="5"/>
      <c r="X495" s="5"/>
      <c r="Y495" s="5"/>
      <c r="Z495" s="5"/>
      <c r="AA495" s="5"/>
      <c r="AB495" s="5"/>
      <c r="AC495" s="5"/>
      <c r="AD495" s="5"/>
      <c r="AE495" s="5"/>
      <c r="AF495" s="5"/>
      <c r="AG495" s="5"/>
      <c r="AH495" s="1499">
        <v>0</v>
      </c>
      <c r="AI495" s="1500"/>
      <c r="AJ495" s="1500"/>
      <c r="AK495" s="1501"/>
      <c r="AZ495" s="3"/>
      <c r="BA495" s="3"/>
      <c r="BB495" s="3"/>
      <c r="BC495" s="3"/>
    </row>
    <row r="496" spans="1:55" ht="12.95"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2.95" customHeight="1">
      <c r="A497" s="2" t="s">
        <v>576</v>
      </c>
      <c r="C497" s="2" t="s">
        <v>399</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2.95"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47" t="s">
        <v>400</v>
      </c>
      <c r="AD499" s="1748"/>
      <c r="AE499" s="1748"/>
      <c r="AF499" s="1748"/>
      <c r="AG499" s="1748"/>
      <c r="AH499" s="1748"/>
      <c r="AI499" s="1748"/>
      <c r="AJ499" s="1748"/>
      <c r="AK499" s="1749"/>
      <c r="AZ499" s="3"/>
      <c r="BA499" s="3"/>
      <c r="BB499" s="3"/>
      <c r="BC499" s="3"/>
      <c r="BD499" s="3"/>
      <c r="BE499" s="3"/>
      <c r="BF499" s="3"/>
      <c r="BG499" s="3"/>
      <c r="BH499" s="3"/>
      <c r="BI499" s="3"/>
      <c r="BJ499" s="3"/>
      <c r="BK499" s="3"/>
      <c r="BL499" s="3"/>
      <c r="BM499" s="3"/>
      <c r="BN499" s="3"/>
    </row>
    <row r="500" spans="1:66"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47" t="s">
        <v>401</v>
      </c>
      <c r="AD500" s="1748"/>
      <c r="AE500" s="1748"/>
      <c r="AF500" s="1748"/>
      <c r="AG500" s="50" t="s">
        <v>402</v>
      </c>
      <c r="AH500" s="1748" t="s">
        <v>403</v>
      </c>
      <c r="AI500" s="1748"/>
      <c r="AJ500" s="1748"/>
      <c r="AK500" s="1749"/>
      <c r="AZ500" s="3"/>
      <c r="BA500" s="3"/>
      <c r="BB500" s="3"/>
      <c r="BC500" s="3"/>
      <c r="BD500" s="3"/>
      <c r="BE500" s="3"/>
      <c r="BF500" s="3"/>
      <c r="BG500" s="3"/>
      <c r="BH500" s="3"/>
      <c r="BI500" s="3"/>
      <c r="BJ500" s="3"/>
      <c r="BK500" s="3"/>
      <c r="BL500" s="3"/>
      <c r="BM500" s="3"/>
      <c r="BN500" s="3"/>
    </row>
    <row r="501" spans="1:66" ht="12.95" customHeight="1">
      <c r="B501" s="1671" t="s">
        <v>404</v>
      </c>
      <c r="C501" s="1477"/>
      <c r="D501" s="1477"/>
      <c r="E501" s="1477"/>
      <c r="F501" s="1477"/>
      <c r="G501" s="1477"/>
      <c r="H501" s="1478"/>
      <c r="I501" s="42" t="s">
        <v>405</v>
      </c>
      <c r="J501" s="42"/>
      <c r="K501" s="42"/>
      <c r="L501" s="42"/>
      <c r="M501" s="42"/>
      <c r="N501" s="42"/>
      <c r="O501" s="42"/>
      <c r="P501" s="42"/>
      <c r="Q501" s="42"/>
      <c r="R501" s="42"/>
      <c r="S501" s="42"/>
      <c r="T501" s="42"/>
      <c r="U501" s="42"/>
      <c r="V501" s="42"/>
      <c r="W501" s="42"/>
      <c r="AC501" s="1699">
        <v>9</v>
      </c>
      <c r="AD501" s="1700"/>
      <c r="AE501" s="1700"/>
      <c r="AF501" s="1700"/>
      <c r="AG501" s="13" t="s">
        <v>402</v>
      </c>
      <c r="AH501" s="1448">
        <v>2025</v>
      </c>
      <c r="AI501" s="1448"/>
      <c r="AJ501" s="1448"/>
      <c r="AK501" s="1449"/>
      <c r="AZ501" s="3"/>
      <c r="BA501" s="3"/>
      <c r="BB501" s="3"/>
      <c r="BC501" s="3"/>
      <c r="BD501" s="3"/>
      <c r="BE501" s="3"/>
      <c r="BF501" s="3"/>
      <c r="BG501" s="3"/>
      <c r="BH501" s="3"/>
      <c r="BI501" s="3"/>
      <c r="BJ501" s="3"/>
      <c r="BK501" s="3"/>
      <c r="BL501" s="3"/>
      <c r="BM501" s="3"/>
      <c r="BN501" s="3"/>
    </row>
    <row r="502" spans="1:66" ht="12.95" customHeight="1">
      <c r="B502" s="1672"/>
      <c r="C502" s="1479"/>
      <c r="D502" s="1479"/>
      <c r="E502" s="1479"/>
      <c r="F502" s="1479"/>
      <c r="G502" s="1479"/>
      <c r="H502" s="1480"/>
      <c r="I502" s="48" t="s">
        <v>406</v>
      </c>
      <c r="J502" s="48"/>
      <c r="K502" s="48"/>
      <c r="L502" s="48"/>
      <c r="M502" s="48"/>
      <c r="N502" s="48"/>
      <c r="O502" s="48"/>
      <c r="P502" s="48"/>
      <c r="Q502" s="48"/>
      <c r="R502" s="48"/>
      <c r="S502" s="48"/>
      <c r="T502" s="48"/>
      <c r="U502" s="48"/>
      <c r="V502" s="48"/>
      <c r="W502" s="48"/>
      <c r="X502" s="48"/>
      <c r="Y502" s="48"/>
      <c r="Z502" s="48"/>
      <c r="AA502" s="48"/>
      <c r="AB502" s="48"/>
      <c r="AC502" s="1699">
        <v>1</v>
      </c>
      <c r="AD502" s="1700"/>
      <c r="AE502" s="1700"/>
      <c r="AF502" s="1700"/>
      <c r="AG502" s="38" t="s">
        <v>402</v>
      </c>
      <c r="AH502" s="1448">
        <v>2026</v>
      </c>
      <c r="AI502" s="1448"/>
      <c r="AJ502" s="1448"/>
      <c r="AK502" s="1449"/>
      <c r="AZ502" s="3"/>
      <c r="BA502" s="3"/>
      <c r="BB502" s="3"/>
      <c r="BC502" s="3"/>
      <c r="BD502" s="3"/>
      <c r="BE502" s="3"/>
      <c r="BF502" s="3"/>
      <c r="BG502" s="3"/>
      <c r="BH502" s="3"/>
      <c r="BI502" s="3"/>
      <c r="BJ502" s="3"/>
      <c r="BK502" s="3"/>
      <c r="BL502" s="3"/>
      <c r="BM502" s="3"/>
      <c r="BN502" s="3"/>
    </row>
    <row r="503" spans="1:66" ht="12.95" customHeight="1">
      <c r="B503" s="1671" t="s">
        <v>407</v>
      </c>
      <c r="C503" s="1477"/>
      <c r="D503" s="1477"/>
      <c r="E503" s="1477"/>
      <c r="F503" s="1477"/>
      <c r="G503" s="1477"/>
      <c r="H503" s="1478"/>
      <c r="I503" s="42" t="s">
        <v>408</v>
      </c>
      <c r="J503" s="42"/>
      <c r="K503" s="42"/>
      <c r="L503" s="42"/>
      <c r="M503" s="42"/>
      <c r="N503" s="42"/>
      <c r="O503" s="42"/>
      <c r="P503" s="42"/>
      <c r="Q503" s="42"/>
      <c r="R503" s="42"/>
      <c r="S503" s="42"/>
      <c r="T503" s="42"/>
      <c r="U503" s="42"/>
      <c r="V503" s="42"/>
      <c r="W503" s="42"/>
      <c r="AC503" s="1699" t="s">
        <v>591</v>
      </c>
      <c r="AD503" s="1700"/>
      <c r="AE503" s="1700"/>
      <c r="AF503" s="1700"/>
      <c r="AG503" s="13" t="s">
        <v>402</v>
      </c>
      <c r="AH503" s="1448"/>
      <c r="AI503" s="1448"/>
      <c r="AJ503" s="1448"/>
      <c r="AK503" s="1449"/>
      <c r="AZ503" s="3"/>
      <c r="BA503" s="3"/>
      <c r="BB503" s="3"/>
      <c r="BC503" s="3"/>
      <c r="BD503" s="3"/>
      <c r="BE503" s="3"/>
      <c r="BF503" s="3"/>
      <c r="BG503" s="3"/>
      <c r="BH503" s="3"/>
      <c r="BI503" s="3"/>
      <c r="BJ503" s="3"/>
      <c r="BK503" s="3"/>
      <c r="BL503" s="3"/>
      <c r="BM503" s="3"/>
      <c r="BN503" s="3"/>
    </row>
    <row r="504" spans="1:66" ht="12.95" customHeight="1">
      <c r="B504" s="1672"/>
      <c r="C504" s="1479"/>
      <c r="D504" s="1479"/>
      <c r="E504" s="1479"/>
      <c r="F504" s="1479"/>
      <c r="G504" s="1479"/>
      <c r="H504" s="1480"/>
      <c r="I504" t="s">
        <v>409</v>
      </c>
      <c r="AC504" s="1699" t="s">
        <v>591</v>
      </c>
      <c r="AD504" s="1700"/>
      <c r="AE504" s="1700"/>
      <c r="AF504" s="1700"/>
      <c r="AG504" s="13" t="s">
        <v>402</v>
      </c>
      <c r="AH504" s="1448"/>
      <c r="AI504" s="1448"/>
      <c r="AJ504" s="1448"/>
      <c r="AK504" s="1449"/>
      <c r="AZ504" s="3"/>
      <c r="BA504" s="3"/>
      <c r="BB504" s="3"/>
      <c r="BC504" s="3"/>
      <c r="BD504" s="3"/>
      <c r="BE504" s="3"/>
      <c r="BF504" s="3"/>
      <c r="BG504" s="3"/>
      <c r="BH504" s="3"/>
      <c r="BI504" s="3"/>
      <c r="BJ504" s="3"/>
      <c r="BK504" s="3"/>
      <c r="BL504" s="3"/>
      <c r="BM504" s="3"/>
      <c r="BN504" s="3"/>
    </row>
    <row r="505" spans="1:66" ht="12.95" customHeight="1">
      <c r="B505" s="1672"/>
      <c r="C505" s="1479"/>
      <c r="D505" s="1479"/>
      <c r="E505" s="1479"/>
      <c r="F505" s="1479"/>
      <c r="G505" s="1479"/>
      <c r="H505" s="1480"/>
      <c r="I505" t="s">
        <v>410</v>
      </c>
      <c r="AC505" s="1699">
        <v>1</v>
      </c>
      <c r="AD505" s="1700"/>
      <c r="AE505" s="1700"/>
      <c r="AF505" s="1700"/>
      <c r="AG505" s="13" t="s">
        <v>402</v>
      </c>
      <c r="AH505" s="1448">
        <v>2025</v>
      </c>
      <c r="AI505" s="1448"/>
      <c r="AJ505" s="1448"/>
      <c r="AK505" s="1449"/>
      <c r="AZ505" s="3"/>
      <c r="BA505" s="3"/>
      <c r="BB505" s="3"/>
      <c r="BC505" s="3"/>
      <c r="BD505" s="3"/>
      <c r="BE505" s="3"/>
      <c r="BF505" s="3"/>
      <c r="BG505" s="3"/>
      <c r="BH505" s="3"/>
      <c r="BI505" s="3"/>
      <c r="BJ505" s="3"/>
      <c r="BK505" s="3"/>
      <c r="BL505" s="3"/>
      <c r="BM505" s="3"/>
      <c r="BN505" s="3"/>
    </row>
    <row r="506" spans="1:66" ht="12.95" customHeight="1">
      <c r="B506" s="1672"/>
      <c r="C506" s="1479"/>
      <c r="D506" s="1479"/>
      <c r="E506" s="1479"/>
      <c r="F506" s="1479"/>
      <c r="G506" s="1479"/>
      <c r="H506" s="1480"/>
      <c r="I506" t="s">
        <v>411</v>
      </c>
      <c r="AC506" s="1699">
        <v>9</v>
      </c>
      <c r="AD506" s="1700"/>
      <c r="AE506" s="1700"/>
      <c r="AF506" s="1700"/>
      <c r="AG506" s="13" t="s">
        <v>402</v>
      </c>
      <c r="AH506" s="1448">
        <v>2025</v>
      </c>
      <c r="AI506" s="1448"/>
      <c r="AJ506" s="1448"/>
      <c r="AK506" s="1449"/>
      <c r="AZ506" s="3"/>
      <c r="BA506" s="3"/>
      <c r="BB506" s="3"/>
      <c r="BC506" s="3"/>
      <c r="BD506" s="3"/>
      <c r="BE506" s="3"/>
      <c r="BF506" s="3"/>
      <c r="BG506" s="3"/>
      <c r="BH506" s="3"/>
      <c r="BI506" s="3"/>
      <c r="BJ506" s="3"/>
      <c r="BK506" s="3"/>
      <c r="BL506" s="3"/>
      <c r="BM506" s="3"/>
      <c r="BN506" s="3"/>
    </row>
    <row r="507" spans="1:66" ht="12.95" customHeight="1">
      <c r="B507" s="1672"/>
      <c r="C507" s="1479"/>
      <c r="D507" s="1479"/>
      <c r="E507" s="1479"/>
      <c r="F507" s="1479"/>
      <c r="G507" s="1479"/>
      <c r="H507" s="1480"/>
      <c r="I507" s="3" t="s">
        <v>412</v>
      </c>
      <c r="AC507" s="1394">
        <v>9</v>
      </c>
      <c r="AD507" s="1395"/>
      <c r="AE507" s="1395"/>
      <c r="AF507" s="1395"/>
      <c r="AG507" s="13" t="s">
        <v>402</v>
      </c>
      <c r="AH507" s="1448">
        <v>2025</v>
      </c>
      <c r="AI507" s="1448"/>
      <c r="AJ507" s="1448"/>
      <c r="AK507" s="1449"/>
      <c r="AZ507" s="3"/>
      <c r="BA507" s="3"/>
      <c r="BB507" s="3"/>
      <c r="BC507" s="3"/>
      <c r="BD507" s="3"/>
      <c r="BE507" s="3"/>
      <c r="BF507" s="3"/>
      <c r="BG507" s="3"/>
      <c r="BH507" s="3"/>
      <c r="BI507" s="3"/>
      <c r="BJ507" s="3"/>
      <c r="BK507" s="3"/>
      <c r="BL507" s="3"/>
      <c r="BM507" s="3"/>
      <c r="BN507" s="3"/>
    </row>
    <row r="508" spans="1:66" ht="12.95" customHeight="1">
      <c r="B508" s="1672"/>
      <c r="C508" s="1479"/>
      <c r="D508" s="1479"/>
      <c r="E508" s="1479"/>
      <c r="F508" s="1479"/>
      <c r="G508" s="1479"/>
      <c r="H508" s="1480"/>
      <c r="I508" s="896" t="s">
        <v>169</v>
      </c>
      <c r="J508" s="48"/>
      <c r="K508" s="48"/>
      <c r="L508" s="1740" t="s">
        <v>333</v>
      </c>
      <c r="M508" s="1741"/>
      <c r="N508" s="1741"/>
      <c r="O508" s="1741"/>
      <c r="P508" s="1741"/>
      <c r="Q508" s="1741"/>
      <c r="R508" s="1741"/>
      <c r="S508" s="1741"/>
      <c r="T508" s="1741"/>
      <c r="U508" s="1741"/>
      <c r="V508" s="1741"/>
      <c r="W508" s="1741"/>
      <c r="X508" s="1741"/>
      <c r="Y508" s="1741"/>
      <c r="Z508" s="1741"/>
      <c r="AA508" s="1741"/>
      <c r="AB508" s="1823"/>
      <c r="AC508" s="1699" t="s">
        <v>591</v>
      </c>
      <c r="AD508" s="1700"/>
      <c r="AE508" s="1700"/>
      <c r="AF508" s="1700"/>
      <c r="AG508" s="38" t="s">
        <v>402</v>
      </c>
      <c r="AH508" s="1448"/>
      <c r="AI508" s="1448"/>
      <c r="AJ508" s="1448"/>
      <c r="AK508" s="1449"/>
      <c r="AZ508" s="3"/>
      <c r="BA508" s="3"/>
      <c r="BB508" s="3"/>
      <c r="BC508" s="3"/>
      <c r="BD508" s="3"/>
      <c r="BE508" s="3"/>
      <c r="BF508" s="3"/>
      <c r="BG508" s="3"/>
      <c r="BH508" s="3"/>
      <c r="BI508" s="3"/>
      <c r="BJ508" s="3"/>
      <c r="BK508" s="3"/>
      <c r="BL508" s="3"/>
      <c r="BM508" s="3"/>
      <c r="BN508" s="3"/>
    </row>
    <row r="509" spans="1:66" ht="12.95" customHeight="1">
      <c r="B509" s="871"/>
      <c r="C509" s="130"/>
      <c r="D509" s="130"/>
      <c r="E509" s="130"/>
      <c r="F509" s="130"/>
      <c r="G509" s="130"/>
      <c r="H509" s="872"/>
      <c r="I509" s="3" t="s">
        <v>1674</v>
      </c>
      <c r="AC509" s="1813" t="s">
        <v>545</v>
      </c>
      <c r="AD509" s="1813"/>
      <c r="AE509" s="1813"/>
      <c r="AF509" s="1813"/>
      <c r="AG509" s="13"/>
      <c r="AH509" s="1378"/>
      <c r="AI509" s="1378"/>
      <c r="AJ509" s="1378"/>
      <c r="AK509" s="1703"/>
      <c r="AZ509" s="3"/>
      <c r="BA509" s="3"/>
      <c r="BB509" s="3"/>
      <c r="BC509" s="3"/>
      <c r="BD509" s="3"/>
      <c r="BE509" s="3"/>
      <c r="BF509" s="3"/>
      <c r="BG509" s="3"/>
      <c r="BH509" s="3"/>
      <c r="BI509" s="3"/>
      <c r="BJ509" s="3"/>
      <c r="BK509" s="3"/>
      <c r="BL509" s="3"/>
      <c r="BM509" s="3"/>
      <c r="BN509" s="3"/>
    </row>
    <row r="510" spans="1:66" ht="12.95" customHeight="1">
      <c r="B510" s="871"/>
      <c r="C510" s="130"/>
      <c r="D510" s="130"/>
      <c r="E510" s="130"/>
      <c r="F510" s="130"/>
      <c r="G510" s="130"/>
      <c r="H510" s="872"/>
      <c r="I510" t="s">
        <v>1671</v>
      </c>
      <c r="AC510" s="1394"/>
      <c r="AD510" s="1395"/>
      <c r="AE510" s="1395"/>
      <c r="AF510" s="1396"/>
      <c r="AG510" s="13"/>
      <c r="AH510" s="1378"/>
      <c r="AI510" s="1378"/>
      <c r="AJ510" s="1378"/>
      <c r="AK510" s="1703"/>
      <c r="AZ510" s="3"/>
      <c r="BA510" s="3"/>
      <c r="BB510" s="3"/>
      <c r="BC510" s="3"/>
      <c r="BD510" s="3"/>
      <c r="BE510" s="3"/>
      <c r="BF510" s="3"/>
      <c r="BG510" s="3"/>
      <c r="BH510" s="3"/>
      <c r="BI510" s="3"/>
      <c r="BJ510" s="3"/>
      <c r="BK510" s="3"/>
      <c r="BL510" s="3"/>
      <c r="BM510" s="3"/>
      <c r="BN510" s="3"/>
    </row>
    <row r="511" spans="1:66" ht="12.95" customHeight="1">
      <c r="B511" s="871"/>
      <c r="C511" s="130"/>
      <c r="D511" s="130"/>
      <c r="E511" s="130"/>
      <c r="F511" s="130"/>
      <c r="G511" s="130"/>
      <c r="H511" s="872"/>
      <c r="I511" t="s">
        <v>1672</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2.95" customHeight="1">
      <c r="B512" s="871"/>
      <c r="C512" s="130"/>
      <c r="D512" s="130"/>
      <c r="E512" s="130"/>
      <c r="F512" s="130"/>
      <c r="G512" s="130"/>
      <c r="H512" s="872"/>
      <c r="I512" s="897" t="s">
        <v>1673</v>
      </c>
      <c r="J512" s="48"/>
      <c r="K512" s="48"/>
      <c r="L512" s="48"/>
      <c r="M512" s="48"/>
      <c r="N512" s="48"/>
      <c r="O512" s="48"/>
      <c r="P512" s="48"/>
      <c r="Q512" s="48"/>
      <c r="R512" s="48"/>
      <c r="S512" s="48"/>
      <c r="T512" s="48"/>
      <c r="U512" s="48"/>
      <c r="V512" s="48"/>
      <c r="W512" s="48"/>
      <c r="X512" s="48"/>
      <c r="Y512" s="48"/>
      <c r="Z512" s="48"/>
      <c r="AA512" s="48"/>
      <c r="AB512" s="48"/>
      <c r="AC512" s="1824">
        <v>0.25</v>
      </c>
      <c r="AD512" s="1825"/>
      <c r="AE512" s="1825"/>
      <c r="AF512" s="1826"/>
      <c r="AG512" s="38"/>
      <c r="AH512" s="1738"/>
      <c r="AI512" s="1738"/>
      <c r="AJ512" s="1738"/>
      <c r="AK512" s="1739"/>
      <c r="AZ512" s="3"/>
      <c r="BA512" s="3"/>
      <c r="BB512" s="3"/>
      <c r="BC512" s="3"/>
      <c r="BD512" s="3"/>
      <c r="BE512" s="3"/>
      <c r="BF512" s="3"/>
      <c r="BG512" s="3"/>
      <c r="BH512" s="3"/>
      <c r="BI512" s="3"/>
      <c r="BJ512" s="3"/>
      <c r="BK512" s="3"/>
      <c r="BL512" s="3"/>
      <c r="BM512" s="3"/>
      <c r="BN512" s="3" t="s">
        <v>1183</v>
      </c>
    </row>
    <row r="513" spans="2:66" ht="12.95"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701" t="s">
        <v>401</v>
      </c>
      <c r="AD513" s="1702"/>
      <c r="AE513" s="1702"/>
      <c r="AF513" s="1702"/>
      <c r="AG513" s="38" t="s">
        <v>402</v>
      </c>
      <c r="AH513" s="1702" t="s">
        <v>403</v>
      </c>
      <c r="AI513" s="1702"/>
      <c r="AJ513" s="1702"/>
      <c r="AK513" s="1843"/>
      <c r="AZ513" s="3"/>
      <c r="BA513" s="3"/>
      <c r="BB513" s="3"/>
      <c r="BC513" s="3"/>
      <c r="BD513" s="3"/>
      <c r="BE513" s="3"/>
      <c r="BF513" s="3"/>
      <c r="BG513" s="3"/>
      <c r="BH513" s="3"/>
      <c r="BI513" s="3"/>
      <c r="BJ513" s="3"/>
      <c r="BK513" s="3"/>
      <c r="BL513" s="3"/>
      <c r="BM513" s="3"/>
      <c r="BN513" s="3" t="s">
        <v>2104</v>
      </c>
    </row>
    <row r="514" spans="2:66" ht="12.95" customHeight="1">
      <c r="B514" s="1671" t="s">
        <v>413</v>
      </c>
      <c r="C514" s="1477"/>
      <c r="D514" s="1477"/>
      <c r="E514" s="1477"/>
      <c r="F514" s="1477"/>
      <c r="G514" s="1477"/>
      <c r="H514" s="1478"/>
      <c r="I514" s="42" t="s">
        <v>414</v>
      </c>
      <c r="J514" s="42"/>
      <c r="K514" s="42"/>
      <c r="L514" s="42"/>
      <c r="M514" s="42"/>
      <c r="N514" s="42"/>
      <c r="O514" s="42"/>
      <c r="P514" s="42"/>
      <c r="Q514" s="42"/>
      <c r="R514" s="42"/>
      <c r="S514" s="42"/>
      <c r="T514" s="42"/>
      <c r="U514" s="42"/>
      <c r="V514" s="42"/>
      <c r="W514" s="42"/>
      <c r="AC514" s="1699">
        <v>5</v>
      </c>
      <c r="AD514" s="1700"/>
      <c r="AE514" s="1700"/>
      <c r="AF514" s="1700"/>
      <c r="AG514" s="13" t="s">
        <v>402</v>
      </c>
      <c r="AH514" s="1448">
        <v>2025</v>
      </c>
      <c r="AI514" s="1448"/>
      <c r="AJ514" s="1448"/>
      <c r="AK514" s="1449"/>
      <c r="AZ514" s="3"/>
      <c r="BA514" s="3"/>
      <c r="BB514" s="3"/>
      <c r="BC514" s="3"/>
      <c r="BD514" s="3"/>
      <c r="BE514" s="3"/>
      <c r="BF514" s="3"/>
      <c r="BG514" s="3"/>
      <c r="BH514" s="3"/>
      <c r="BI514" s="3"/>
      <c r="BJ514" s="3"/>
      <c r="BK514" s="3"/>
      <c r="BL514" s="3"/>
      <c r="BM514" s="3"/>
      <c r="BN514" s="3" t="s">
        <v>2105</v>
      </c>
    </row>
    <row r="515" spans="2:66" ht="12.95" customHeight="1">
      <c r="B515" s="1672"/>
      <c r="C515" s="1479"/>
      <c r="D515" s="1479"/>
      <c r="E515" s="1479"/>
      <c r="F515" s="1479"/>
      <c r="G515" s="1479"/>
      <c r="H515" s="1480"/>
      <c r="I515" t="s">
        <v>415</v>
      </c>
      <c r="AC515" s="1699">
        <v>5</v>
      </c>
      <c r="AD515" s="1700"/>
      <c r="AE515" s="1700"/>
      <c r="AF515" s="1700"/>
      <c r="AG515" s="13" t="s">
        <v>402</v>
      </c>
      <c r="AH515" s="1448">
        <v>2025</v>
      </c>
      <c r="AI515" s="1448"/>
      <c r="AJ515" s="1448"/>
      <c r="AK515" s="1449"/>
      <c r="AZ515" s="3"/>
      <c r="BA515" s="3"/>
      <c r="BB515" s="3"/>
      <c r="BC515" s="3"/>
      <c r="BD515" s="3"/>
      <c r="BE515" s="3"/>
      <c r="BF515" s="3"/>
      <c r="BG515" s="3"/>
      <c r="BH515" s="3"/>
      <c r="BI515" s="3"/>
      <c r="BJ515" s="3"/>
      <c r="BK515" s="3"/>
      <c r="BL515" s="3"/>
      <c r="BM515" s="3"/>
      <c r="BN515" s="3" t="s">
        <v>2106</v>
      </c>
    </row>
    <row r="516" spans="2:66" ht="12.95" customHeight="1">
      <c r="B516" s="1672"/>
      <c r="C516" s="1479"/>
      <c r="D516" s="1479"/>
      <c r="E516" s="1479"/>
      <c r="F516" s="1479"/>
      <c r="G516" s="1479"/>
      <c r="H516" s="1480"/>
      <c r="I516" s="48" t="s">
        <v>416</v>
      </c>
      <c r="J516" s="48"/>
      <c r="K516" s="48"/>
      <c r="L516" s="48"/>
      <c r="M516" s="48"/>
      <c r="N516" s="48"/>
      <c r="O516" s="48"/>
      <c r="P516" s="48"/>
      <c r="Q516" s="48"/>
      <c r="R516" s="48"/>
      <c r="S516" s="48"/>
      <c r="T516" s="48"/>
      <c r="U516" s="48"/>
      <c r="V516" s="48"/>
      <c r="W516" s="48"/>
      <c r="X516" s="48"/>
      <c r="Y516" s="48"/>
      <c r="Z516" s="48"/>
      <c r="AA516" s="48"/>
      <c r="AB516" s="48"/>
      <c r="AC516" s="1699">
        <v>1</v>
      </c>
      <c r="AD516" s="1700"/>
      <c r="AE516" s="1700"/>
      <c r="AF516" s="1700"/>
      <c r="AG516" s="38" t="s">
        <v>402</v>
      </c>
      <c r="AH516" s="1448">
        <v>2026</v>
      </c>
      <c r="AI516" s="1448"/>
      <c r="AJ516" s="1448"/>
      <c r="AK516" s="1449"/>
      <c r="AZ516" s="3"/>
      <c r="BA516" s="3"/>
      <c r="BB516" s="3"/>
      <c r="BC516" s="3"/>
      <c r="BD516" s="3"/>
      <c r="BE516" s="3"/>
      <c r="BF516" s="3"/>
      <c r="BG516" s="3"/>
      <c r="BH516" s="3"/>
      <c r="BI516" s="3"/>
      <c r="BJ516" s="3"/>
      <c r="BK516" s="3"/>
      <c r="BL516" s="3"/>
      <c r="BM516" s="3"/>
      <c r="BN516" s="3" t="s">
        <v>2107</v>
      </c>
    </row>
    <row r="517" spans="2:66" ht="12.95" customHeight="1">
      <c r="B517" s="1671" t="s">
        <v>417</v>
      </c>
      <c r="C517" s="1477"/>
      <c r="D517" s="1477"/>
      <c r="E517" s="1477"/>
      <c r="F517" s="1477"/>
      <c r="G517" s="1477"/>
      <c r="H517" s="1478"/>
      <c r="I517" s="42" t="s">
        <v>414</v>
      </c>
      <c r="J517" s="42"/>
      <c r="K517" s="42"/>
      <c r="L517" s="42"/>
      <c r="M517" s="42"/>
      <c r="N517" s="42"/>
      <c r="O517" s="42"/>
      <c r="P517" s="42"/>
      <c r="Q517" s="42"/>
      <c r="R517" s="42"/>
      <c r="S517" s="42"/>
      <c r="T517" s="42"/>
      <c r="U517" s="42"/>
      <c r="V517" s="42"/>
      <c r="W517" s="42"/>
      <c r="X517" s="42"/>
      <c r="Y517" s="42"/>
      <c r="Z517" s="42"/>
      <c r="AA517" s="42"/>
      <c r="AB517" s="42"/>
      <c r="AC517" s="1394">
        <v>5</v>
      </c>
      <c r="AD517" s="1395"/>
      <c r="AE517" s="1395"/>
      <c r="AF517" s="1395"/>
      <c r="AG517" s="129" t="s">
        <v>402</v>
      </c>
      <c r="AH517" s="1448">
        <v>2025</v>
      </c>
      <c r="AI517" s="1448"/>
      <c r="AJ517" s="1448"/>
      <c r="AK517" s="1449"/>
      <c r="AZ517" s="3"/>
      <c r="BB517" s="3"/>
      <c r="BC517" s="3"/>
      <c r="BD517" s="3"/>
      <c r="BE517" s="3"/>
      <c r="BF517" s="3"/>
      <c r="BG517" s="3"/>
      <c r="BH517" s="3"/>
      <c r="BI517" s="3"/>
      <c r="BJ517" s="3"/>
      <c r="BK517" s="3"/>
      <c r="BL517" s="3"/>
      <c r="BM517" s="3"/>
      <c r="BN517" s="3" t="s">
        <v>2108</v>
      </c>
    </row>
    <row r="518" spans="2:66" ht="12.95" customHeight="1">
      <c r="B518" s="1672"/>
      <c r="C518" s="1479"/>
      <c r="D518" s="1479"/>
      <c r="E518" s="1479"/>
      <c r="F518" s="1479"/>
      <c r="G518" s="1479"/>
      <c r="H518" s="1480"/>
      <c r="I518" t="s">
        <v>415</v>
      </c>
      <c r="AC518" s="1699">
        <v>5</v>
      </c>
      <c r="AD518" s="1700"/>
      <c r="AE518" s="1700"/>
      <c r="AF518" s="1700"/>
      <c r="AG518" s="13" t="s">
        <v>402</v>
      </c>
      <c r="AH518" s="1448">
        <v>2025</v>
      </c>
      <c r="AI518" s="1448"/>
      <c r="AJ518" s="1448"/>
      <c r="AK518" s="1449"/>
      <c r="BB518" s="3"/>
      <c r="BC518" s="3"/>
      <c r="BD518" s="3"/>
      <c r="BE518" s="3"/>
      <c r="BF518" s="3"/>
      <c r="BG518" s="3"/>
      <c r="BH518" s="3"/>
      <c r="BI518" s="3"/>
      <c r="BJ518" s="3"/>
      <c r="BK518" s="3"/>
      <c r="BL518" s="3"/>
      <c r="BM518" s="3"/>
      <c r="BN518" s="3" t="s">
        <v>2109</v>
      </c>
    </row>
    <row r="519" spans="2:66" ht="12.95" customHeight="1">
      <c r="B519" s="1673"/>
      <c r="C519" s="1481"/>
      <c r="D519" s="1481"/>
      <c r="E519" s="1481"/>
      <c r="F519" s="1481"/>
      <c r="G519" s="1481"/>
      <c r="H519" s="1482"/>
      <c r="I519" s="48" t="s">
        <v>416</v>
      </c>
      <c r="J519" s="48"/>
      <c r="K519" s="48"/>
      <c r="L519" s="48"/>
      <c r="M519" s="48"/>
      <c r="N519" s="48"/>
      <c r="O519" s="48"/>
      <c r="P519" s="48"/>
      <c r="Q519" s="48"/>
      <c r="R519" s="48"/>
      <c r="S519" s="48"/>
      <c r="T519" s="48"/>
      <c r="U519" s="48"/>
      <c r="V519" s="48"/>
      <c r="W519" s="48"/>
      <c r="X519" s="48"/>
      <c r="Y519" s="48"/>
      <c r="Z519" s="48"/>
      <c r="AA519" s="48"/>
      <c r="AB519" s="48"/>
      <c r="AC519" s="1699">
        <v>1</v>
      </c>
      <c r="AD519" s="1700"/>
      <c r="AE519" s="1700"/>
      <c r="AF519" s="1700"/>
      <c r="AG519" s="38" t="s">
        <v>402</v>
      </c>
      <c r="AH519" s="1448">
        <v>2026</v>
      </c>
      <c r="AI519" s="1448"/>
      <c r="AJ519" s="1448"/>
      <c r="AK519" s="1449"/>
      <c r="BB519" s="3"/>
      <c r="BC519" s="3"/>
      <c r="BD519" s="3"/>
      <c r="BE519" s="3"/>
      <c r="BF519" s="3"/>
      <c r="BG519" s="3"/>
      <c r="BH519" s="3"/>
      <c r="BI519" s="3"/>
      <c r="BJ519" s="3"/>
      <c r="BK519" s="3"/>
      <c r="BL519" s="3"/>
      <c r="BM519" s="3"/>
      <c r="BN519" s="3" t="s">
        <v>2110</v>
      </c>
    </row>
    <row r="520" spans="2:66" ht="12.95" customHeight="1">
      <c r="B520" s="1671" t="s">
        <v>418</v>
      </c>
      <c r="C520" s="1477"/>
      <c r="D520" s="1477"/>
      <c r="E520" s="1477"/>
      <c r="F520" s="1477"/>
      <c r="G520" s="1477"/>
      <c r="H520" s="1478"/>
      <c r="I520" s="41" t="s">
        <v>419</v>
      </c>
      <c r="J520" s="42"/>
      <c r="K520" s="42"/>
      <c r="L520" s="42"/>
      <c r="M520" s="42"/>
      <c r="N520" s="42"/>
      <c r="O520" s="1740" t="s">
        <v>333</v>
      </c>
      <c r="P520" s="1741"/>
      <c r="Q520" s="1741"/>
      <c r="R520" s="1741"/>
      <c r="S520" s="1741"/>
      <c r="T520" s="1741"/>
      <c r="U520" s="1741"/>
      <c r="V520" s="1741"/>
      <c r="W520" s="1741"/>
      <c r="X520" s="1741"/>
      <c r="Y520" s="1741"/>
      <c r="Z520" s="1741"/>
      <c r="AA520" s="1741"/>
      <c r="AB520" s="58"/>
      <c r="AC520" s="1394" t="s">
        <v>591</v>
      </c>
      <c r="AD520" s="1395"/>
      <c r="AE520" s="1395"/>
      <c r="AF520" s="1395"/>
      <c r="AG520" s="129" t="s">
        <v>402</v>
      </c>
      <c r="AH520" s="1448"/>
      <c r="AI520" s="1448"/>
      <c r="AJ520" s="1448"/>
      <c r="AK520" s="1449"/>
      <c r="AZ520" s="3"/>
      <c r="BB520" s="3"/>
      <c r="BC520" s="3"/>
      <c r="BD520" s="3"/>
      <c r="BE520" s="3"/>
      <c r="BF520" s="3"/>
      <c r="BG520" s="3"/>
      <c r="BH520" s="3"/>
      <c r="BI520" s="3"/>
      <c r="BJ520" s="3"/>
      <c r="BK520" s="3"/>
      <c r="BL520" s="3"/>
      <c r="BM520" s="3"/>
      <c r="BN520" s="3" t="s">
        <v>2111</v>
      </c>
    </row>
    <row r="521" spans="2:66" ht="12.95" customHeight="1">
      <c r="B521" s="1672"/>
      <c r="C521" s="1479"/>
      <c r="D521" s="1479"/>
      <c r="E521" s="1479"/>
      <c r="F521" s="1479"/>
      <c r="G521" s="1479"/>
      <c r="H521" s="1480"/>
      <c r="I521" s="114" t="s">
        <v>420</v>
      </c>
      <c r="AB521" s="65"/>
      <c r="AC521" s="1699" t="s">
        <v>591</v>
      </c>
      <c r="AD521" s="1700"/>
      <c r="AE521" s="1700"/>
      <c r="AF521" s="1700"/>
      <c r="AG521" s="13" t="s">
        <v>402</v>
      </c>
      <c r="AH521" s="1448"/>
      <c r="AI521" s="1448"/>
      <c r="AJ521" s="1448"/>
      <c r="AK521" s="1449"/>
      <c r="AZ521" s="3"/>
      <c r="BB521" s="3"/>
      <c r="BC521" s="3"/>
      <c r="BD521" s="3"/>
      <c r="BE521" s="3"/>
      <c r="BF521" s="3"/>
      <c r="BG521" s="3"/>
      <c r="BH521" s="3"/>
      <c r="BI521" s="3"/>
      <c r="BJ521" s="3"/>
      <c r="BK521" s="3"/>
      <c r="BL521" s="3"/>
      <c r="BM521" s="3"/>
      <c r="BN521" s="3" t="s">
        <v>2112</v>
      </c>
    </row>
    <row r="522" spans="2:66" ht="12.95" customHeight="1">
      <c r="B522" s="1672"/>
      <c r="C522" s="1479"/>
      <c r="D522" s="1479"/>
      <c r="E522" s="1479"/>
      <c r="F522" s="1479"/>
      <c r="G522" s="1479"/>
      <c r="H522" s="1480"/>
      <c r="I522" s="47" t="s">
        <v>421</v>
      </c>
      <c r="J522" s="48"/>
      <c r="K522" s="48"/>
      <c r="L522" s="48"/>
      <c r="M522" s="48"/>
      <c r="N522" s="48"/>
      <c r="O522" s="48"/>
      <c r="P522" s="48"/>
      <c r="Q522" s="48"/>
      <c r="R522" s="48"/>
      <c r="S522" s="48"/>
      <c r="T522" s="48"/>
      <c r="U522" s="48"/>
      <c r="V522" s="48"/>
      <c r="W522" s="48"/>
      <c r="X522" s="48"/>
      <c r="Y522" s="48"/>
      <c r="Z522" s="48"/>
      <c r="AA522" s="48"/>
      <c r="AB522" s="49"/>
      <c r="AC522" s="1699" t="s">
        <v>591</v>
      </c>
      <c r="AD522" s="1700"/>
      <c r="AE522" s="1700"/>
      <c r="AF522" s="1700"/>
      <c r="AG522" s="38" t="s">
        <v>402</v>
      </c>
      <c r="AH522" s="1448"/>
      <c r="AI522" s="1448"/>
      <c r="AJ522" s="1448"/>
      <c r="AK522" s="1449"/>
      <c r="AZ522" s="3"/>
      <c r="BA522" s="3"/>
      <c r="BB522" s="3"/>
      <c r="BC522" s="3"/>
      <c r="BD522" s="3"/>
      <c r="BE522" s="3"/>
      <c r="BF522" s="3"/>
      <c r="BG522" s="3"/>
      <c r="BH522" s="3"/>
      <c r="BI522" s="3"/>
      <c r="BJ522" s="3"/>
      <c r="BK522" s="3"/>
      <c r="BL522" s="3"/>
      <c r="BM522" s="3"/>
      <c r="BN522" s="3" t="s">
        <v>2113</v>
      </c>
    </row>
    <row r="523" spans="2:66" ht="12.95" customHeight="1">
      <c r="B523" s="1672"/>
      <c r="C523" s="1479"/>
      <c r="D523" s="1479"/>
      <c r="E523" s="1479"/>
      <c r="F523" s="1479"/>
      <c r="G523" s="1479"/>
      <c r="H523" s="1480"/>
      <c r="I523" s="42" t="s">
        <v>422</v>
      </c>
      <c r="J523" s="42"/>
      <c r="K523" s="42"/>
      <c r="L523" s="42"/>
      <c r="M523" s="42"/>
      <c r="N523" s="42"/>
      <c r="O523" s="1740" t="s">
        <v>333</v>
      </c>
      <c r="P523" s="1741"/>
      <c r="Q523" s="1741"/>
      <c r="R523" s="1741"/>
      <c r="S523" s="1741"/>
      <c r="T523" s="1741"/>
      <c r="U523" s="1741"/>
      <c r="V523" s="1741"/>
      <c r="W523" s="1741"/>
      <c r="X523" s="1741"/>
      <c r="Y523" s="1741"/>
      <c r="Z523" s="1741"/>
      <c r="AA523" s="1741"/>
      <c r="AC523" s="1699" t="s">
        <v>591</v>
      </c>
      <c r="AD523" s="1700"/>
      <c r="AE523" s="1700"/>
      <c r="AF523" s="1700"/>
      <c r="AG523" s="13" t="s">
        <v>402</v>
      </c>
      <c r="AH523" s="1448"/>
      <c r="AI523" s="1448"/>
      <c r="AJ523" s="1448"/>
      <c r="AK523" s="1449"/>
      <c r="AZ523" s="3"/>
      <c r="BA523" s="3"/>
      <c r="BB523" s="3"/>
      <c r="BC523" s="3"/>
      <c r="BD523" s="3"/>
      <c r="BE523" s="3"/>
      <c r="BF523" s="3"/>
      <c r="BG523" s="3"/>
      <c r="BH523" s="3"/>
      <c r="BI523" s="3"/>
      <c r="BJ523" s="3"/>
      <c r="BK523" s="3"/>
      <c r="BL523" s="3"/>
      <c r="BM523" s="3"/>
      <c r="BN523" s="3" t="s">
        <v>2114</v>
      </c>
    </row>
    <row r="524" spans="2:66" ht="12.95" customHeight="1">
      <c r="B524" s="1672"/>
      <c r="C524" s="1479"/>
      <c r="D524" s="1479"/>
      <c r="E524" s="1479"/>
      <c r="F524" s="1479"/>
      <c r="G524" s="1479"/>
      <c r="H524" s="1480"/>
      <c r="I524" t="s">
        <v>420</v>
      </c>
      <c r="AC524" s="1699" t="s">
        <v>591</v>
      </c>
      <c r="AD524" s="1700"/>
      <c r="AE524" s="1700"/>
      <c r="AF524" s="1700"/>
      <c r="AG524" s="13" t="s">
        <v>402</v>
      </c>
      <c r="AH524" s="1448"/>
      <c r="AI524" s="1448"/>
      <c r="AJ524" s="1448"/>
      <c r="AK524" s="1449"/>
      <c r="AZ524" s="3"/>
      <c r="BA524" s="3"/>
      <c r="BB524" s="3"/>
      <c r="BC524" s="3"/>
      <c r="BD524" s="3"/>
      <c r="BE524" s="3"/>
      <c r="BF524" s="3"/>
      <c r="BG524" s="3"/>
      <c r="BH524" s="3"/>
      <c r="BI524" s="3"/>
      <c r="BJ524" s="3"/>
      <c r="BK524" s="3"/>
      <c r="BL524" s="3"/>
      <c r="BM524" s="3"/>
      <c r="BN524" s="3" t="s">
        <v>2115</v>
      </c>
    </row>
    <row r="525" spans="2:66" ht="12.95" customHeight="1">
      <c r="B525" s="1672"/>
      <c r="C525" s="1479"/>
      <c r="D525" s="1479"/>
      <c r="E525" s="1479"/>
      <c r="F525" s="1479"/>
      <c r="G525" s="1479"/>
      <c r="H525" s="1480"/>
      <c r="I525" s="48" t="s">
        <v>421</v>
      </c>
      <c r="J525" s="48"/>
      <c r="K525" s="48"/>
      <c r="L525" s="48"/>
      <c r="M525" s="48"/>
      <c r="N525" s="48"/>
      <c r="O525" s="48"/>
      <c r="P525" s="48"/>
      <c r="Q525" s="48"/>
      <c r="R525" s="48"/>
      <c r="S525" s="48"/>
      <c r="T525" s="48"/>
      <c r="U525" s="48"/>
      <c r="V525" s="48"/>
      <c r="W525" s="48"/>
      <c r="X525" s="48"/>
      <c r="Y525" s="48"/>
      <c r="Z525" s="48"/>
      <c r="AA525" s="48"/>
      <c r="AB525" s="48"/>
      <c r="AC525" s="1699" t="s">
        <v>591</v>
      </c>
      <c r="AD525" s="1700"/>
      <c r="AE525" s="1700"/>
      <c r="AF525" s="1700"/>
      <c r="AG525" s="38" t="s">
        <v>402</v>
      </c>
      <c r="AH525" s="1448"/>
      <c r="AI525" s="1448"/>
      <c r="AJ525" s="1448"/>
      <c r="AK525" s="1449"/>
      <c r="AZ525" s="3"/>
      <c r="BA525" s="3"/>
      <c r="BB525" s="3"/>
      <c r="BC525" s="3"/>
      <c r="BD525" s="3"/>
      <c r="BE525" s="3"/>
      <c r="BF525" s="3"/>
      <c r="BG525" s="3"/>
      <c r="BH525" s="3"/>
      <c r="BI525" s="3"/>
      <c r="BJ525" s="3"/>
      <c r="BK525" s="3"/>
      <c r="BL525" s="3"/>
      <c r="BM525" s="3"/>
      <c r="BN525" s="3" t="s">
        <v>2116</v>
      </c>
    </row>
    <row r="526" spans="2:66" ht="12.95" customHeight="1">
      <c r="B526" s="1672"/>
      <c r="C526" s="1479"/>
      <c r="D526" s="1479"/>
      <c r="E526" s="1479"/>
      <c r="F526" s="1479"/>
      <c r="G526" s="1479"/>
      <c r="H526" s="1480"/>
      <c r="I526" s="42" t="s">
        <v>422</v>
      </c>
      <c r="J526" s="42"/>
      <c r="K526" s="42"/>
      <c r="L526" s="42"/>
      <c r="M526" s="42"/>
      <c r="N526" s="42"/>
      <c r="O526" s="1740" t="s">
        <v>333</v>
      </c>
      <c r="P526" s="1741"/>
      <c r="Q526" s="1741"/>
      <c r="R526" s="1741"/>
      <c r="S526" s="1741"/>
      <c r="T526" s="1741"/>
      <c r="U526" s="1741"/>
      <c r="V526" s="1741"/>
      <c r="W526" s="1741"/>
      <c r="X526" s="1741"/>
      <c r="Y526" s="1741"/>
      <c r="Z526" s="1741"/>
      <c r="AA526" s="1741"/>
      <c r="AC526" s="1699" t="s">
        <v>591</v>
      </c>
      <c r="AD526" s="1700"/>
      <c r="AE526" s="1700"/>
      <c r="AF526" s="1700"/>
      <c r="AG526" s="13" t="s">
        <v>402</v>
      </c>
      <c r="AH526" s="1448"/>
      <c r="AI526" s="1448"/>
      <c r="AJ526" s="1448"/>
      <c r="AK526" s="1449"/>
      <c r="AZ526" s="3"/>
      <c r="BA526" s="3"/>
      <c r="BB526" s="3"/>
      <c r="BC526" s="3"/>
      <c r="BD526" s="3"/>
      <c r="BE526" s="3"/>
      <c r="BF526" s="3"/>
      <c r="BG526" s="3"/>
      <c r="BH526" s="3"/>
      <c r="BI526" s="3"/>
      <c r="BJ526" s="3"/>
      <c r="BK526" s="3"/>
      <c r="BL526" s="3"/>
      <c r="BM526" s="3"/>
      <c r="BN526" s="3" t="s">
        <v>2117</v>
      </c>
    </row>
    <row r="527" spans="2:66" ht="12.95" customHeight="1">
      <c r="B527" s="1672"/>
      <c r="C527" s="1479"/>
      <c r="D527" s="1479"/>
      <c r="E527" s="1479"/>
      <c r="F527" s="1479"/>
      <c r="G527" s="1479"/>
      <c r="H527" s="1480"/>
      <c r="I527" t="s">
        <v>420</v>
      </c>
      <c r="AC527" s="1699" t="s">
        <v>591</v>
      </c>
      <c r="AD527" s="1700"/>
      <c r="AE527" s="1700"/>
      <c r="AF527" s="1700"/>
      <c r="AG527" s="13" t="s">
        <v>402</v>
      </c>
      <c r="AH527" s="1448"/>
      <c r="AI527" s="1448"/>
      <c r="AJ527" s="1448"/>
      <c r="AK527" s="1449"/>
      <c r="AZ527" s="3"/>
      <c r="BA527" s="3"/>
      <c r="BB527" s="3"/>
      <c r="BC527" s="3"/>
      <c r="BD527" s="3"/>
      <c r="BE527" s="3"/>
      <c r="BF527" s="3"/>
      <c r="BG527" s="3"/>
      <c r="BH527" s="3"/>
      <c r="BI527" s="3"/>
      <c r="BJ527" s="3"/>
      <c r="BK527" s="3"/>
      <c r="BL527" s="3"/>
      <c r="BM527" s="3"/>
      <c r="BN527" s="3" t="s">
        <v>2118</v>
      </c>
    </row>
    <row r="528" spans="2:66" ht="12.95" customHeight="1">
      <c r="B528" s="1672"/>
      <c r="C528" s="1479"/>
      <c r="D528" s="1479"/>
      <c r="E528" s="1479"/>
      <c r="F528" s="1479"/>
      <c r="G528" s="1479"/>
      <c r="H528" s="1480"/>
      <c r="I528" s="48" t="s">
        <v>421</v>
      </c>
      <c r="J528" s="48"/>
      <c r="K528" s="48"/>
      <c r="L528" s="48"/>
      <c r="M528" s="48"/>
      <c r="N528" s="48"/>
      <c r="O528" s="48"/>
      <c r="P528" s="48"/>
      <c r="Q528" s="48"/>
      <c r="R528" s="48"/>
      <c r="S528" s="48"/>
      <c r="T528" s="48"/>
      <c r="U528" s="48"/>
      <c r="V528" s="48"/>
      <c r="W528" s="48"/>
      <c r="X528" s="48"/>
      <c r="Y528" s="48"/>
      <c r="Z528" s="48"/>
      <c r="AA528" s="48"/>
      <c r="AB528" s="48"/>
      <c r="AC528" s="1699" t="s">
        <v>591</v>
      </c>
      <c r="AD528" s="1700"/>
      <c r="AE528" s="1700"/>
      <c r="AF528" s="1700"/>
      <c r="AG528" s="38" t="s">
        <v>402</v>
      </c>
      <c r="AH528" s="1448"/>
      <c r="AI528" s="1448"/>
      <c r="AJ528" s="1448"/>
      <c r="AK528" s="1449"/>
      <c r="AZ528" s="3"/>
      <c r="BA528" s="3"/>
      <c r="BB528" s="3"/>
      <c r="BC528" s="3"/>
      <c r="BD528" s="3"/>
      <c r="BE528" s="3"/>
      <c r="BF528" s="3"/>
      <c r="BG528" s="3"/>
      <c r="BH528" s="3"/>
      <c r="BI528" s="3"/>
      <c r="BJ528" s="3"/>
      <c r="BK528" s="3"/>
      <c r="BL528" s="3"/>
      <c r="BM528" s="3"/>
      <c r="BN528" s="3" t="s">
        <v>2119</v>
      </c>
    </row>
    <row r="529" spans="1:66" ht="12.95" customHeight="1">
      <c r="B529" s="1672"/>
      <c r="C529" s="1479"/>
      <c r="D529" s="1479"/>
      <c r="E529" s="1479"/>
      <c r="F529" s="1479"/>
      <c r="G529" s="1479"/>
      <c r="H529" s="1480"/>
      <c r="I529" s="42" t="s">
        <v>422</v>
      </c>
      <c r="J529" s="42"/>
      <c r="K529" s="42"/>
      <c r="L529" s="42"/>
      <c r="M529" s="42"/>
      <c r="N529" s="42"/>
      <c r="O529" s="1740" t="s">
        <v>333</v>
      </c>
      <c r="P529" s="1741"/>
      <c r="Q529" s="1741"/>
      <c r="R529" s="1741"/>
      <c r="S529" s="1741"/>
      <c r="T529" s="1741"/>
      <c r="U529" s="1741"/>
      <c r="V529" s="1741"/>
      <c r="W529" s="1741"/>
      <c r="X529" s="1741"/>
      <c r="Y529" s="1741"/>
      <c r="Z529" s="1741"/>
      <c r="AA529" s="1741"/>
      <c r="AC529" s="1699" t="s">
        <v>591</v>
      </c>
      <c r="AD529" s="1700"/>
      <c r="AE529" s="1700"/>
      <c r="AF529" s="1700"/>
      <c r="AG529" s="13" t="s">
        <v>402</v>
      </c>
      <c r="AH529" s="1448"/>
      <c r="AI529" s="1448"/>
      <c r="AJ529" s="1448"/>
      <c r="AK529" s="1449"/>
      <c r="AZ529" s="3"/>
      <c r="BA529" s="3"/>
      <c r="BB529" s="3"/>
      <c r="BC529" s="3"/>
      <c r="BD529" s="3"/>
      <c r="BE529" s="3"/>
      <c r="BF529" s="3"/>
      <c r="BG529" s="3"/>
      <c r="BH529" s="3"/>
      <c r="BI529" s="3"/>
      <c r="BJ529" s="3"/>
      <c r="BK529" s="3"/>
      <c r="BL529" s="3"/>
      <c r="BM529" s="3"/>
      <c r="BN529" s="3" t="s">
        <v>2120</v>
      </c>
    </row>
    <row r="530" spans="1:66" ht="12.95" customHeight="1">
      <c r="B530" s="1672"/>
      <c r="C530" s="1479"/>
      <c r="D530" s="1479"/>
      <c r="E530" s="1479"/>
      <c r="F530" s="1479"/>
      <c r="G530" s="1479"/>
      <c r="H530" s="1480"/>
      <c r="I530" t="s">
        <v>420</v>
      </c>
      <c r="AC530" s="1699" t="s">
        <v>591</v>
      </c>
      <c r="AD530" s="1700"/>
      <c r="AE530" s="1700"/>
      <c r="AF530" s="1700"/>
      <c r="AG530" s="13" t="s">
        <v>402</v>
      </c>
      <c r="AH530" s="1448"/>
      <c r="AI530" s="1448"/>
      <c r="AJ530" s="1448"/>
      <c r="AK530" s="1449"/>
      <c r="AZ530" s="3"/>
      <c r="BA530" s="3"/>
      <c r="BB530" s="3"/>
      <c r="BC530" s="3"/>
      <c r="BD530" s="3"/>
      <c r="BE530" s="3"/>
      <c r="BF530" s="3"/>
      <c r="BG530" s="3"/>
      <c r="BH530" s="3"/>
      <c r="BI530" s="3"/>
      <c r="BJ530" s="3"/>
      <c r="BK530" s="3"/>
      <c r="BL530" s="3"/>
      <c r="BM530" s="3"/>
      <c r="BN530" s="3" t="s">
        <v>2121</v>
      </c>
    </row>
    <row r="531" spans="1:66" ht="12.95" customHeight="1">
      <c r="B531" s="1672"/>
      <c r="C531" s="1479"/>
      <c r="D531" s="1479"/>
      <c r="E531" s="1479"/>
      <c r="F531" s="1479"/>
      <c r="G531" s="1479"/>
      <c r="H531" s="1480"/>
      <c r="I531" s="48" t="s">
        <v>421</v>
      </c>
      <c r="J531" s="48"/>
      <c r="K531" s="48"/>
      <c r="L531" s="48"/>
      <c r="M531" s="48"/>
      <c r="N531" s="48"/>
      <c r="O531" s="48"/>
      <c r="P531" s="48"/>
      <c r="Q531" s="48"/>
      <c r="R531" s="48"/>
      <c r="S531" s="48"/>
      <c r="T531" s="48"/>
      <c r="U531" s="48"/>
      <c r="V531" s="48"/>
      <c r="W531" s="48"/>
      <c r="X531" s="48"/>
      <c r="Y531" s="48"/>
      <c r="Z531" s="48"/>
      <c r="AA531" s="48"/>
      <c r="AB531" s="48"/>
      <c r="AC531" s="1699" t="s">
        <v>591</v>
      </c>
      <c r="AD531" s="1700"/>
      <c r="AE531" s="1700"/>
      <c r="AF531" s="1700"/>
      <c r="AG531" s="38" t="s">
        <v>402</v>
      </c>
      <c r="AH531" s="1448"/>
      <c r="AI531" s="1448"/>
      <c r="AJ531" s="1448"/>
      <c r="AK531" s="1449"/>
      <c r="AZ531" s="3"/>
      <c r="BA531" s="3"/>
      <c r="BB531" s="3"/>
      <c r="BC531" s="3"/>
      <c r="BD531" s="3"/>
      <c r="BE531" s="3"/>
      <c r="BF531" s="3"/>
      <c r="BG531" s="3"/>
      <c r="BH531" s="3"/>
      <c r="BI531" s="3"/>
      <c r="BJ531" s="3"/>
      <c r="BK531" s="3"/>
      <c r="BL531" s="3"/>
      <c r="BM531" s="3"/>
      <c r="BN531" s="3" t="s">
        <v>2122</v>
      </c>
    </row>
    <row r="532" spans="1:66" ht="12.95" customHeight="1">
      <c r="B532" s="1672"/>
      <c r="C532" s="1479"/>
      <c r="D532" s="1479"/>
      <c r="E532" s="1479"/>
      <c r="F532" s="1479"/>
      <c r="G532" s="1479"/>
      <c r="H532" s="1480"/>
      <c r="I532" s="42" t="s">
        <v>422</v>
      </c>
      <c r="J532" s="42"/>
      <c r="K532" s="42"/>
      <c r="L532" s="42"/>
      <c r="M532" s="42"/>
      <c r="N532" s="42"/>
      <c r="O532" s="1740" t="s">
        <v>333</v>
      </c>
      <c r="P532" s="1741"/>
      <c r="Q532" s="1741"/>
      <c r="R532" s="1741"/>
      <c r="S532" s="1741"/>
      <c r="T532" s="1741"/>
      <c r="U532" s="1741"/>
      <c r="V532" s="1741"/>
      <c r="W532" s="1741"/>
      <c r="X532" s="1741"/>
      <c r="Y532" s="1741"/>
      <c r="Z532" s="1741"/>
      <c r="AA532" s="1741"/>
      <c r="AC532" s="1699" t="s">
        <v>591</v>
      </c>
      <c r="AD532" s="1700"/>
      <c r="AE532" s="1700"/>
      <c r="AF532" s="1700"/>
      <c r="AG532" s="13" t="s">
        <v>402</v>
      </c>
      <c r="AH532" s="1448"/>
      <c r="AI532" s="1448"/>
      <c r="AJ532" s="1448"/>
      <c r="AK532" s="1449"/>
      <c r="AZ532" s="3"/>
      <c r="BA532" s="3"/>
      <c r="BB532" s="3"/>
      <c r="BC532" s="3"/>
      <c r="BD532" s="3"/>
      <c r="BE532" s="3"/>
      <c r="BF532" s="3"/>
      <c r="BG532" s="3"/>
      <c r="BH532" s="3"/>
      <c r="BI532" s="3"/>
      <c r="BJ532" s="3"/>
      <c r="BK532" s="3"/>
      <c r="BL532" s="3"/>
      <c r="BM532" s="3"/>
      <c r="BN532" s="3" t="s">
        <v>2123</v>
      </c>
    </row>
    <row r="533" spans="1:66" ht="12.95" customHeight="1">
      <c r="B533" s="1672"/>
      <c r="C533" s="1479"/>
      <c r="D533" s="1479"/>
      <c r="E533" s="1479"/>
      <c r="F533" s="1479"/>
      <c r="G533" s="1479"/>
      <c r="H533" s="1480"/>
      <c r="I533" t="s">
        <v>420</v>
      </c>
      <c r="AC533" s="1699" t="s">
        <v>591</v>
      </c>
      <c r="AD533" s="1700"/>
      <c r="AE533" s="1700"/>
      <c r="AF533" s="1700"/>
      <c r="AG533" s="38" t="s">
        <v>402</v>
      </c>
      <c r="AH533" s="1448"/>
      <c r="AI533" s="1448"/>
      <c r="AJ533" s="1448"/>
      <c r="AK533" s="1449"/>
      <c r="AZ533" s="3"/>
      <c r="BA533" s="3"/>
      <c r="BB533" s="3"/>
      <c r="BC533" s="3"/>
      <c r="BD533" s="3"/>
      <c r="BE533" s="3"/>
      <c r="BF533" s="3"/>
      <c r="BG533" s="3"/>
      <c r="BH533" s="3"/>
      <c r="BI533" s="3"/>
      <c r="BJ533" s="3"/>
      <c r="BK533" s="3"/>
      <c r="BL533" s="3"/>
      <c r="BM533" s="3"/>
      <c r="BN533" s="3" t="s">
        <v>2124</v>
      </c>
    </row>
    <row r="534" spans="1:66" ht="12.95" customHeight="1">
      <c r="B534" s="1672"/>
      <c r="C534" s="1479"/>
      <c r="D534" s="1479"/>
      <c r="E534" s="1479"/>
      <c r="F534" s="1479"/>
      <c r="G534" s="1479"/>
      <c r="H534" s="1480"/>
      <c r="I534" s="48" t="s">
        <v>421</v>
      </c>
      <c r="J534" s="48"/>
      <c r="K534" s="48"/>
      <c r="L534" s="48"/>
      <c r="M534" s="48"/>
      <c r="N534" s="48"/>
      <c r="O534" s="48"/>
      <c r="P534" s="48"/>
      <c r="Q534" s="48"/>
      <c r="R534" s="48"/>
      <c r="S534" s="48"/>
      <c r="T534" s="48"/>
      <c r="U534" s="48"/>
      <c r="V534" s="48"/>
      <c r="W534" s="48"/>
      <c r="X534" s="48"/>
      <c r="Y534" s="48"/>
      <c r="Z534" s="48"/>
      <c r="AA534" s="48"/>
      <c r="AB534" s="48"/>
      <c r="AC534" s="1699" t="s">
        <v>591</v>
      </c>
      <c r="AD534" s="1700"/>
      <c r="AE534" s="1700"/>
      <c r="AF534" s="1700"/>
      <c r="AG534" s="13" t="s">
        <v>402</v>
      </c>
      <c r="AH534" s="1448"/>
      <c r="AI534" s="1448"/>
      <c r="AJ534" s="1448"/>
      <c r="AK534" s="1449"/>
      <c r="AZ534" s="3"/>
      <c r="BA534" s="3"/>
      <c r="BB534" s="3"/>
      <c r="BC534" s="3"/>
      <c r="BD534" s="3"/>
      <c r="BE534" s="3"/>
      <c r="BF534" s="3"/>
      <c r="BG534" s="3"/>
      <c r="BH534" s="3"/>
      <c r="BI534" s="3"/>
      <c r="BJ534" s="3"/>
      <c r="BK534" s="3"/>
      <c r="BL534" s="3"/>
      <c r="BM534" s="3"/>
      <c r="BN534" s="3" t="s">
        <v>2125</v>
      </c>
    </row>
    <row r="535" spans="1:66" ht="12.95" customHeight="1">
      <c r="B535" s="1672"/>
      <c r="C535" s="1479"/>
      <c r="D535" s="1479"/>
      <c r="E535" s="1479"/>
      <c r="F535" s="1479"/>
      <c r="G535" s="1479"/>
      <c r="H535" s="1480"/>
      <c r="I535" s="42" t="s">
        <v>422</v>
      </c>
      <c r="J535" s="42"/>
      <c r="K535" s="42"/>
      <c r="L535" s="42"/>
      <c r="M535" s="42"/>
      <c r="N535" s="42"/>
      <c r="O535" s="1740" t="s">
        <v>333</v>
      </c>
      <c r="P535" s="1741"/>
      <c r="Q535" s="1741"/>
      <c r="R535" s="1741"/>
      <c r="S535" s="1741"/>
      <c r="T535" s="1741"/>
      <c r="U535" s="1741"/>
      <c r="V535" s="1741"/>
      <c r="W535" s="1741"/>
      <c r="X535" s="1741"/>
      <c r="Y535" s="1741"/>
      <c r="Z535" s="1741"/>
      <c r="AA535" s="1741"/>
      <c r="AC535" s="1699" t="s">
        <v>591</v>
      </c>
      <c r="AD535" s="1700"/>
      <c r="AE535" s="1700"/>
      <c r="AF535" s="1700"/>
      <c r="AG535" s="38" t="s">
        <v>402</v>
      </c>
      <c r="AH535" s="1448"/>
      <c r="AI535" s="1448"/>
      <c r="AJ535" s="1448"/>
      <c r="AK535" s="1449"/>
      <c r="AZ535" s="3"/>
      <c r="BA535" s="3"/>
      <c r="BB535" s="3"/>
      <c r="BC535" s="3"/>
      <c r="BD535" s="3"/>
      <c r="BE535" s="3"/>
      <c r="BF535" s="3"/>
      <c r="BG535" s="3"/>
      <c r="BH535" s="3"/>
      <c r="BI535" s="3"/>
      <c r="BJ535" s="3"/>
      <c r="BK535" s="3"/>
      <c r="BL535" s="3"/>
      <c r="BM535" s="3"/>
      <c r="BN535" s="3" t="s">
        <v>2126</v>
      </c>
    </row>
    <row r="536" spans="1:66" ht="12.95" customHeight="1">
      <c r="B536" s="1672"/>
      <c r="C536" s="1479"/>
      <c r="D536" s="1479"/>
      <c r="E536" s="1479"/>
      <c r="F536" s="1479"/>
      <c r="G536" s="1479"/>
      <c r="H536" s="1480"/>
      <c r="I536" t="s">
        <v>420</v>
      </c>
      <c r="AC536" s="1699" t="s">
        <v>591</v>
      </c>
      <c r="AD536" s="1700"/>
      <c r="AE536" s="1700"/>
      <c r="AF536" s="1700"/>
      <c r="AG536" s="13" t="s">
        <v>402</v>
      </c>
      <c r="AH536" s="1448"/>
      <c r="AI536" s="1448"/>
      <c r="AJ536" s="1448"/>
      <c r="AK536" s="1449"/>
      <c r="AZ536" s="3"/>
      <c r="BA536" s="3"/>
      <c r="BB536" s="3"/>
      <c r="BC536" s="3"/>
      <c r="BD536" s="3"/>
      <c r="BE536" s="3"/>
      <c r="BF536" s="3"/>
      <c r="BG536" s="3"/>
      <c r="BH536" s="3"/>
      <c r="BI536" s="3"/>
      <c r="BJ536" s="3"/>
      <c r="BK536" s="3"/>
      <c r="BL536" s="3"/>
      <c r="BM536" s="3"/>
      <c r="BN536" s="3" t="s">
        <v>2127</v>
      </c>
    </row>
    <row r="537" spans="1:66" ht="12.95" customHeight="1">
      <c r="B537" s="1672"/>
      <c r="C537" s="1479"/>
      <c r="D537" s="1479"/>
      <c r="E537" s="1479"/>
      <c r="F537" s="1479"/>
      <c r="G537" s="1479"/>
      <c r="H537" s="1480"/>
      <c r="I537" s="48" t="s">
        <v>421</v>
      </c>
      <c r="J537" s="48"/>
      <c r="K537" s="48"/>
      <c r="L537" s="48"/>
      <c r="M537" s="48"/>
      <c r="N537" s="48"/>
      <c r="O537" s="48"/>
      <c r="P537" s="48"/>
      <c r="Q537" s="48"/>
      <c r="R537" s="48"/>
      <c r="S537" s="48"/>
      <c r="T537" s="48"/>
      <c r="U537" s="48"/>
      <c r="V537" s="48"/>
      <c r="W537" s="48"/>
      <c r="X537" s="48"/>
      <c r="Y537" s="48"/>
      <c r="Z537" s="48"/>
      <c r="AA537" s="48"/>
      <c r="AB537" s="48"/>
      <c r="AC537" s="1699" t="s">
        <v>591</v>
      </c>
      <c r="AD537" s="1700"/>
      <c r="AE537" s="1700"/>
      <c r="AF537" s="1700"/>
      <c r="AG537" s="38" t="s">
        <v>402</v>
      </c>
      <c r="AH537" s="1448"/>
      <c r="AI537" s="1448"/>
      <c r="AJ537" s="1448"/>
      <c r="AK537" s="1449"/>
      <c r="AZ537" s="3"/>
      <c r="BA537" s="3"/>
      <c r="BB537" s="3"/>
      <c r="BC537" s="3"/>
      <c r="BD537" s="3"/>
      <c r="BE537" s="3"/>
      <c r="BF537" s="3"/>
      <c r="BG537" s="3"/>
      <c r="BH537" s="3"/>
      <c r="BI537" s="3"/>
      <c r="BJ537" s="3"/>
      <c r="BK537" s="3"/>
      <c r="BL537" s="3"/>
      <c r="BM537" s="3"/>
      <c r="BN537" s="3" t="s">
        <v>2128</v>
      </c>
    </row>
    <row r="538" spans="1:66" ht="12.95" customHeight="1">
      <c r="B538" s="1672"/>
      <c r="C538" s="1479"/>
      <c r="D538" s="1479"/>
      <c r="E538" s="1479"/>
      <c r="F538" s="1479"/>
      <c r="G538" s="1479"/>
      <c r="H538" s="1480"/>
      <c r="I538" s="42" t="s">
        <v>562</v>
      </c>
      <c r="J538" s="42"/>
      <c r="K538" s="42"/>
      <c r="L538" s="42"/>
      <c r="M538" s="42"/>
      <c r="N538" s="42"/>
      <c r="O538" s="42"/>
      <c r="P538" s="42"/>
      <c r="Q538" s="42"/>
      <c r="R538" s="42"/>
      <c r="S538" s="42"/>
      <c r="T538" s="42"/>
      <c r="U538" s="42"/>
      <c r="V538" s="42"/>
      <c r="W538" s="42"/>
      <c r="AC538" s="1699">
        <v>1</v>
      </c>
      <c r="AD538" s="1700"/>
      <c r="AE538" s="1700"/>
      <c r="AF538" s="1700"/>
      <c r="AG538" s="38" t="s">
        <v>402</v>
      </c>
      <c r="AH538" s="1448">
        <v>2026</v>
      </c>
      <c r="AI538" s="1448"/>
      <c r="AJ538" s="1448"/>
      <c r="AK538" s="1449"/>
      <c r="AZ538" s="3"/>
      <c r="BA538" s="3"/>
      <c r="BB538" s="3"/>
      <c r="BC538" s="3"/>
      <c r="BD538" s="3"/>
      <c r="BE538" s="3"/>
      <c r="BF538" s="3"/>
      <c r="BG538" s="3"/>
      <c r="BH538" s="3"/>
      <c r="BI538" s="3"/>
      <c r="BJ538" s="3"/>
      <c r="BK538" s="3"/>
      <c r="BL538" s="3"/>
      <c r="BM538" s="3"/>
      <c r="BN538" s="3"/>
    </row>
    <row r="539" spans="1:66" ht="12.95" customHeight="1">
      <c r="B539" s="1672"/>
      <c r="C539" s="1479"/>
      <c r="D539" s="1479"/>
      <c r="E539" s="1479"/>
      <c r="F539" s="1479"/>
      <c r="G539" s="1479"/>
      <c r="H539" s="1480"/>
      <c r="I539" t="s">
        <v>563</v>
      </c>
      <c r="AC539" s="1699">
        <v>1</v>
      </c>
      <c r="AD539" s="1700"/>
      <c r="AE539" s="1700"/>
      <c r="AF539" s="1700"/>
      <c r="AG539" s="13" t="s">
        <v>402</v>
      </c>
      <c r="AH539" s="1448">
        <v>2026</v>
      </c>
      <c r="AI539" s="1448"/>
      <c r="AJ539" s="1448"/>
      <c r="AK539" s="1449"/>
      <c r="AZ539" s="3"/>
      <c r="BA539" s="3"/>
      <c r="BB539" s="3"/>
      <c r="BC539" s="3"/>
      <c r="BD539" s="3"/>
      <c r="BE539" s="3"/>
      <c r="BF539" s="3"/>
      <c r="BG539" s="3"/>
      <c r="BH539" s="3"/>
      <c r="BI539" s="3"/>
      <c r="BJ539" s="3"/>
      <c r="BK539" s="3"/>
      <c r="BL539" s="3"/>
      <c r="BM539" s="3"/>
      <c r="BN539" s="3"/>
    </row>
    <row r="540" spans="1:66" ht="12.95" customHeight="1">
      <c r="B540" s="1672"/>
      <c r="C540" s="1479"/>
      <c r="D540" s="1479"/>
      <c r="E540" s="1479"/>
      <c r="F540" s="1479"/>
      <c r="G540" s="1479"/>
      <c r="H540" s="1480"/>
      <c r="I540" t="s">
        <v>564</v>
      </c>
      <c r="AC540" s="1699">
        <v>11</v>
      </c>
      <c r="AD540" s="1700"/>
      <c r="AE540" s="1700"/>
      <c r="AF540" s="1700"/>
      <c r="AG540" s="38" t="s">
        <v>402</v>
      </c>
      <c r="AH540" s="1448">
        <v>2027</v>
      </c>
      <c r="AI540" s="1448"/>
      <c r="AJ540" s="1448"/>
      <c r="AK540" s="1449"/>
      <c r="AZ540" s="3"/>
      <c r="BA540" s="3"/>
      <c r="BB540" s="3"/>
      <c r="BC540" s="3"/>
      <c r="BD540" s="3"/>
      <c r="BE540" s="3"/>
      <c r="BF540" s="3"/>
      <c r="BG540" s="3"/>
      <c r="BH540" s="3"/>
      <c r="BI540" s="3"/>
      <c r="BJ540" s="3"/>
      <c r="BK540" s="3"/>
      <c r="BL540" s="3"/>
      <c r="BM540" s="3"/>
      <c r="BN540" s="3"/>
    </row>
    <row r="541" spans="1:66" ht="12.95" customHeight="1">
      <c r="B541" s="1672"/>
      <c r="C541" s="1479"/>
      <c r="D541" s="1479"/>
      <c r="E541" s="1479"/>
      <c r="F541" s="1479"/>
      <c r="G541" s="1479"/>
      <c r="H541" s="1480"/>
      <c r="I541" t="s">
        <v>565</v>
      </c>
      <c r="AC541" s="1699">
        <v>11</v>
      </c>
      <c r="AD541" s="1700"/>
      <c r="AE541" s="1700"/>
      <c r="AF541" s="1700"/>
      <c r="AG541" s="38" t="s">
        <v>402</v>
      </c>
      <c r="AH541" s="1448">
        <v>2027</v>
      </c>
      <c r="AI541" s="1448"/>
      <c r="AJ541" s="1448"/>
      <c r="AK541" s="1449"/>
      <c r="AZ541" s="3"/>
      <c r="BA541" s="3"/>
      <c r="BB541" s="3"/>
      <c r="BC541" s="3"/>
      <c r="BD541" s="3"/>
      <c r="BE541" s="3"/>
      <c r="BF541" s="3"/>
      <c r="BG541" s="3"/>
      <c r="BH541" s="3"/>
      <c r="BI541" s="3"/>
      <c r="BJ541" s="3"/>
      <c r="BK541" s="3"/>
      <c r="BL541" s="3"/>
      <c r="BM541" s="3"/>
      <c r="BN541" s="3"/>
    </row>
    <row r="542" spans="1:66" ht="12.95" customHeight="1">
      <c r="B542" s="1673"/>
      <c r="C542" s="1481"/>
      <c r="D542" s="1481"/>
      <c r="E542" s="1481"/>
      <c r="F542" s="1481"/>
      <c r="G542" s="1481"/>
      <c r="H542" s="1482"/>
      <c r="I542" s="48" t="s">
        <v>451</v>
      </c>
      <c r="J542" s="48"/>
      <c r="K542" s="48"/>
      <c r="L542" s="48"/>
      <c r="M542" s="48"/>
      <c r="N542" s="48"/>
      <c r="O542" s="48"/>
      <c r="P542" s="48"/>
      <c r="Q542" s="48"/>
      <c r="R542" s="48"/>
      <c r="S542" s="48"/>
      <c r="T542" s="48"/>
      <c r="U542" s="48"/>
      <c r="V542" s="48"/>
      <c r="W542" s="48"/>
      <c r="X542" s="48"/>
      <c r="Y542" s="48"/>
      <c r="Z542" s="48"/>
      <c r="AA542" s="48"/>
      <c r="AB542" s="48"/>
      <c r="AC542" s="1699">
        <v>7</v>
      </c>
      <c r="AD542" s="1700"/>
      <c r="AE542" s="1700"/>
      <c r="AF542" s="1700"/>
      <c r="AG542" s="38" t="s">
        <v>402</v>
      </c>
      <c r="AH542" s="1448">
        <v>2028</v>
      </c>
      <c r="AI542" s="1448"/>
      <c r="AJ542" s="1448"/>
      <c r="AK542" s="1449"/>
      <c r="BB542" s="3"/>
      <c r="BC542" s="3"/>
      <c r="BD542" s="3"/>
      <c r="BE542" s="3"/>
      <c r="BF542" s="3"/>
      <c r="BG542" s="3"/>
      <c r="BH542" s="3" t="s">
        <v>112</v>
      </c>
      <c r="BI542" s="3" t="str">
        <f>N649</f>
        <v>Yes</v>
      </c>
      <c r="BJ542" s="3"/>
      <c r="BK542" s="3"/>
      <c r="BL542" s="3"/>
      <c r="BM542" s="3"/>
      <c r="BN542" s="3"/>
    </row>
    <row r="543" spans="1:66" ht="12.95"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2.95" customHeight="1">
      <c r="A544" s="1261" t="s">
        <v>543</v>
      </c>
      <c r="B544" s="1261"/>
      <c r="C544" s="1261"/>
      <c r="D544" s="1261"/>
      <c r="E544" s="1261"/>
      <c r="F544" s="1261"/>
      <c r="G544" s="1261"/>
      <c r="H544" s="1261"/>
      <c r="I544" s="1261"/>
      <c r="J544" s="1261"/>
      <c r="K544" s="1261"/>
      <c r="L544" s="1261"/>
      <c r="M544" s="1261"/>
      <c r="N544" s="1261"/>
      <c r="O544" s="1261"/>
      <c r="P544" s="1261"/>
      <c r="Q544" s="1261"/>
      <c r="R544" s="1261"/>
      <c r="S544" s="1261"/>
      <c r="T544" s="1261"/>
      <c r="U544" s="1261"/>
      <c r="V544" s="1261"/>
      <c r="W544" s="1261"/>
      <c r="X544" s="1261"/>
      <c r="Y544" s="1261"/>
      <c r="Z544" s="1261"/>
      <c r="AA544" s="1261"/>
      <c r="AB544" s="1261"/>
      <c r="AC544" s="1261"/>
      <c r="AD544" s="1261"/>
      <c r="AE544" s="1261"/>
      <c r="AF544" s="1261"/>
      <c r="AG544" s="1261"/>
      <c r="AH544" s="1261"/>
      <c r="AI544" s="1261"/>
      <c r="AJ544" s="1261"/>
      <c r="AK544" s="1261"/>
      <c r="AL544" s="1261"/>
      <c r="AM544" s="1261"/>
      <c r="AN544" s="1261"/>
      <c r="AO544" s="1261"/>
      <c r="AP544" s="1261"/>
      <c r="AQ544" s="1261"/>
      <c r="AR544" s="1261"/>
      <c r="AS544" s="1261"/>
      <c r="AT544" s="1261"/>
      <c r="AU544" s="899"/>
      <c r="AV544" s="899"/>
      <c r="AW544" s="899"/>
      <c r="AX544" s="899"/>
      <c r="AY544" s="899"/>
      <c r="BB544" s="3"/>
      <c r="BC544" s="3"/>
      <c r="BD544" s="3"/>
      <c r="BE544" s="3"/>
      <c r="BF544" s="3"/>
      <c r="BG544" s="3"/>
      <c r="BH544" s="3"/>
      <c r="BI544" s="3"/>
      <c r="BJ544" s="3"/>
      <c r="BK544" s="3"/>
      <c r="BL544" s="3"/>
      <c r="BM544" s="3"/>
      <c r="BN544" s="3"/>
    </row>
    <row r="545" spans="1:61" ht="12.95" customHeight="1">
      <c r="A545" s="1261"/>
      <c r="B545" s="1261"/>
      <c r="C545" s="1261"/>
      <c r="D545" s="1261"/>
      <c r="E545" s="1261"/>
      <c r="F545" s="1261"/>
      <c r="G545" s="1261"/>
      <c r="H545" s="1261"/>
      <c r="I545" s="1261"/>
      <c r="J545" s="1261"/>
      <c r="K545" s="1261"/>
      <c r="L545" s="1261"/>
      <c r="M545" s="1261"/>
      <c r="N545" s="1261"/>
      <c r="O545" s="1261"/>
      <c r="P545" s="1261"/>
      <c r="Q545" s="1261"/>
      <c r="R545" s="1261"/>
      <c r="S545" s="1261"/>
      <c r="T545" s="1261"/>
      <c r="U545" s="1261"/>
      <c r="V545" s="1261"/>
      <c r="W545" s="1261"/>
      <c r="X545" s="1261"/>
      <c r="Y545" s="1261"/>
      <c r="Z545" s="1261"/>
      <c r="AA545" s="1261"/>
      <c r="AB545" s="1261"/>
      <c r="AC545" s="1261"/>
      <c r="AD545" s="1261"/>
      <c r="AE545" s="1261"/>
      <c r="AF545" s="1261"/>
      <c r="AG545" s="1261"/>
      <c r="AH545" s="1261"/>
      <c r="AI545" s="1261"/>
      <c r="AJ545" s="1261"/>
      <c r="AK545" s="1261"/>
      <c r="AL545" s="1261"/>
      <c r="AM545" s="1261"/>
      <c r="AN545" s="1261"/>
      <c r="AO545" s="1261"/>
      <c r="AP545" s="1261"/>
      <c r="AQ545" s="1261"/>
      <c r="AR545" s="1261"/>
      <c r="AS545" s="1261"/>
      <c r="AT545" s="1261"/>
      <c r="BB545" s="3"/>
      <c r="BC545" s="3"/>
      <c r="BD545" s="3"/>
      <c r="BE545" s="3"/>
      <c r="BF545" s="3"/>
      <c r="BG545" s="3"/>
      <c r="BH545" s="3"/>
      <c r="BI545" s="3"/>
    </row>
    <row r="546" spans="1:61" ht="12.95" customHeight="1">
      <c r="BB546" s="3"/>
      <c r="BC546" s="3"/>
      <c r="BD546" s="3"/>
      <c r="BE546" s="3"/>
      <c r="BF546" s="3"/>
      <c r="BG546" s="3"/>
      <c r="BH546" s="3"/>
      <c r="BI546" s="3"/>
    </row>
    <row r="547" spans="1:61" ht="12.95" customHeight="1">
      <c r="A547" s="2" t="s">
        <v>318</v>
      </c>
      <c r="B547" s="2"/>
      <c r="C547" s="2" t="s">
        <v>452</v>
      </c>
      <c r="BB547" s="3"/>
      <c r="BC547" s="3"/>
      <c r="BD547" s="3"/>
      <c r="BE547" s="3"/>
      <c r="BF547" s="3"/>
      <c r="BG547" s="3"/>
      <c r="BH547" s="3"/>
      <c r="BI547" s="3"/>
    </row>
    <row r="548" spans="1:61" ht="12.95" customHeight="1">
      <c r="A548" s="2"/>
      <c r="B548" s="2"/>
      <c r="C548" s="2"/>
      <c r="BB548" s="3"/>
      <c r="BC548" s="3"/>
      <c r="BD548" s="3"/>
      <c r="BE548" s="3"/>
      <c r="BF548" s="3"/>
      <c r="BG548" s="3"/>
      <c r="BH548" s="3"/>
      <c r="BI548" s="3"/>
    </row>
    <row r="549" spans="1:61" ht="12.95" customHeight="1">
      <c r="A549" s="2"/>
      <c r="B549" s="2"/>
      <c r="C549" s="2"/>
      <c r="D549" s="2" t="s">
        <v>2100</v>
      </c>
      <c r="AC549" s="98"/>
      <c r="BB549" s="3"/>
      <c r="BC549" s="3"/>
      <c r="BD549" s="3"/>
      <c r="BE549" s="3"/>
      <c r="BF549" s="3"/>
      <c r="BG549" s="3"/>
      <c r="BH549" s="3"/>
      <c r="BI549" s="3"/>
    </row>
    <row r="550" spans="1:61" ht="12.95" customHeight="1">
      <c r="B550" s="512"/>
      <c r="BB550" s="3"/>
      <c r="BC550" s="3"/>
      <c r="BD550" s="3"/>
      <c r="BE550" s="3"/>
      <c r="BF550" s="3"/>
      <c r="BG550" s="3"/>
      <c r="BH550" s="3" t="s">
        <v>119</v>
      </c>
      <c r="BI550" s="3" t="str">
        <f>N657</f>
        <v>Yes</v>
      </c>
    </row>
    <row r="551" spans="1:61" ht="12.95" customHeight="1">
      <c r="B551" s="1671" t="s">
        <v>2102</v>
      </c>
      <c r="C551" s="1477"/>
      <c r="D551" s="1477"/>
      <c r="E551" s="1477"/>
      <c r="F551" s="1477"/>
      <c r="G551" s="1477"/>
      <c r="H551" s="1477"/>
      <c r="I551" s="1477"/>
      <c r="J551" s="1477"/>
      <c r="K551" s="1477"/>
      <c r="L551" s="1478"/>
      <c r="M551" s="1671" t="s">
        <v>2103</v>
      </c>
      <c r="N551" s="1477"/>
      <c r="O551" s="1477"/>
      <c r="P551" s="1478"/>
      <c r="Q551" s="1671" t="s">
        <v>2129</v>
      </c>
      <c r="R551" s="1477"/>
      <c r="S551" s="1478"/>
      <c r="T551" s="1671" t="s">
        <v>2130</v>
      </c>
      <c r="U551" s="1477"/>
      <c r="V551" s="1478"/>
      <c r="W551" s="1671" t="s">
        <v>453</v>
      </c>
      <c r="X551" s="1477"/>
      <c r="Y551" s="1478"/>
      <c r="Z551" s="1671" t="s">
        <v>1851</v>
      </c>
      <c r="AA551" s="1477"/>
      <c r="AB551" s="1477"/>
      <c r="AC551" s="1477"/>
      <c r="AD551" s="1478"/>
      <c r="AE551" s="1671" t="s">
        <v>1675</v>
      </c>
      <c r="AF551" s="1477"/>
      <c r="AG551" s="1477"/>
      <c r="AH551" s="1478"/>
      <c r="AI551" s="1671" t="s">
        <v>1676</v>
      </c>
      <c r="AJ551" s="1477"/>
      <c r="AK551" s="1477"/>
      <c r="AL551" s="1478"/>
      <c r="AM551" s="1671" t="s">
        <v>454</v>
      </c>
      <c r="AN551" s="1477"/>
      <c r="AO551" s="1477"/>
      <c r="AP551" s="1477"/>
      <c r="AQ551" s="1477"/>
      <c r="AR551" s="1477"/>
      <c r="AS551" s="1478"/>
      <c r="BB551" s="3"/>
      <c r="BC551" s="3"/>
      <c r="BD551" s="3"/>
      <c r="BE551" s="3"/>
      <c r="BF551" s="3"/>
      <c r="BG551" s="3"/>
      <c r="BH551" s="3" t="s">
        <v>581</v>
      </c>
      <c r="BI551" s="3">
        <f>AG657</f>
        <v>0</v>
      </c>
    </row>
    <row r="552" spans="1:61" ht="12.95" customHeight="1">
      <c r="B552" s="1672"/>
      <c r="C552" s="1479"/>
      <c r="D552" s="1479"/>
      <c r="E552" s="1479"/>
      <c r="F552" s="1479"/>
      <c r="G552" s="1479"/>
      <c r="H552" s="1479"/>
      <c r="I552" s="1479"/>
      <c r="J552" s="1479"/>
      <c r="K552" s="1479"/>
      <c r="L552" s="1480"/>
      <c r="M552" s="1672"/>
      <c r="N552" s="1479"/>
      <c r="O552" s="1479"/>
      <c r="P552" s="1480"/>
      <c r="Q552" s="1672"/>
      <c r="R552" s="1479"/>
      <c r="S552" s="1480"/>
      <c r="T552" s="1672"/>
      <c r="U552" s="1479"/>
      <c r="V552" s="1480"/>
      <c r="W552" s="1672"/>
      <c r="X552" s="1479"/>
      <c r="Y552" s="1480"/>
      <c r="Z552" s="1672"/>
      <c r="AA552" s="1479"/>
      <c r="AB552" s="1479"/>
      <c r="AC552" s="1479"/>
      <c r="AD552" s="1480"/>
      <c r="AE552" s="1672"/>
      <c r="AF552" s="1479"/>
      <c r="AG552" s="1479"/>
      <c r="AH552" s="1480"/>
      <c r="AI552" s="1672"/>
      <c r="AJ552" s="1479"/>
      <c r="AK552" s="1479"/>
      <c r="AL552" s="1480"/>
      <c r="AM552" s="1672"/>
      <c r="AN552" s="1479"/>
      <c r="AO552" s="1479"/>
      <c r="AP552" s="1479"/>
      <c r="AQ552" s="1479"/>
      <c r="AR552" s="1479"/>
      <c r="AS552" s="1480"/>
      <c r="AU552" s="1147"/>
      <c r="BB552" s="3"/>
      <c r="BC552" s="3"/>
      <c r="BD552" s="3"/>
      <c r="BE552" s="3"/>
      <c r="BF552" s="3"/>
      <c r="BG552" s="3"/>
      <c r="BH552" s="3"/>
      <c r="BI552" s="3"/>
    </row>
    <row r="553" spans="1:61" ht="12.95" customHeight="1">
      <c r="B553" s="1673"/>
      <c r="C553" s="1481"/>
      <c r="D553" s="1481"/>
      <c r="E553" s="1481"/>
      <c r="F553" s="1481"/>
      <c r="G553" s="1481"/>
      <c r="H553" s="1481"/>
      <c r="I553" s="1481"/>
      <c r="J553" s="1481"/>
      <c r="K553" s="1481"/>
      <c r="L553" s="1482"/>
      <c r="M553" s="1673"/>
      <c r="N553" s="1481"/>
      <c r="O553" s="1481"/>
      <c r="P553" s="1482"/>
      <c r="Q553" s="1673"/>
      <c r="R553" s="1481"/>
      <c r="S553" s="1482"/>
      <c r="T553" s="1673"/>
      <c r="U553" s="1481"/>
      <c r="V553" s="1482"/>
      <c r="W553" s="1673"/>
      <c r="X553" s="1481"/>
      <c r="Y553" s="1482"/>
      <c r="Z553" s="1673"/>
      <c r="AA553" s="1481"/>
      <c r="AB553" s="1481"/>
      <c r="AC553" s="1481"/>
      <c r="AD553" s="1482"/>
      <c r="AE553" s="1673"/>
      <c r="AF553" s="1481"/>
      <c r="AG553" s="1481"/>
      <c r="AH553" s="1482"/>
      <c r="AI553" s="1673"/>
      <c r="AJ553" s="1481"/>
      <c r="AK553" s="1481"/>
      <c r="AL553" s="1482"/>
      <c r="AM553" s="1673"/>
      <c r="AN553" s="1481"/>
      <c r="AO553" s="1481"/>
      <c r="AP553" s="1481"/>
      <c r="AQ553" s="1481"/>
      <c r="AR553" s="1481"/>
      <c r="AS553" s="1482"/>
      <c r="AU553" s="1147"/>
      <c r="BB553" s="3"/>
      <c r="BC553" s="3"/>
      <c r="BD553" s="3"/>
      <c r="BE553" s="3"/>
      <c r="BF553" s="3"/>
      <c r="BG553" s="3"/>
      <c r="BH553" s="3"/>
      <c r="BI553" s="3"/>
    </row>
    <row r="554" spans="1:61" ht="12.95" customHeight="1">
      <c r="B554" s="51" t="s">
        <v>112</v>
      </c>
      <c r="C554" s="1682" t="s">
        <v>2689</v>
      </c>
      <c r="D554" s="1682"/>
      <c r="E554" s="1682"/>
      <c r="F554" s="1682"/>
      <c r="G554" s="1682"/>
      <c r="H554" s="1682"/>
      <c r="I554" s="1682"/>
      <c r="J554" s="1682"/>
      <c r="K554" s="1682"/>
      <c r="L554" s="1682"/>
      <c r="M554" s="1682" t="s">
        <v>2119</v>
      </c>
      <c r="N554" s="1682"/>
      <c r="O554" s="1682"/>
      <c r="P554" s="1682"/>
      <c r="Q554" s="1684">
        <v>22</v>
      </c>
      <c r="R554" s="1684"/>
      <c r="S554" s="1685"/>
      <c r="T554" s="1683"/>
      <c r="U554" s="1684"/>
      <c r="V554" s="1685"/>
      <c r="W554" s="1676">
        <v>7.0000000000000007E-2</v>
      </c>
      <c r="X554" s="1677"/>
      <c r="Y554" s="1678"/>
      <c r="Z554" s="1675" t="s">
        <v>2692</v>
      </c>
      <c r="AA554" s="1675"/>
      <c r="AB554" s="1675"/>
      <c r="AC554" s="1675"/>
      <c r="AD554" s="1675"/>
      <c r="AE554" s="1492">
        <v>2</v>
      </c>
      <c r="AF554" s="1493"/>
      <c r="AG554" s="1493"/>
      <c r="AH554" s="1494"/>
      <c r="AI554" s="1679"/>
      <c r="AJ554" s="1680"/>
      <c r="AK554" s="1680"/>
      <c r="AL554" s="1681"/>
      <c r="AM554" s="1489">
        <v>45000000</v>
      </c>
      <c r="AN554" s="1490"/>
      <c r="AO554" s="1490"/>
      <c r="AP554" s="1490"/>
      <c r="AQ554" s="1490"/>
      <c r="AR554" s="1490"/>
      <c r="AS554" s="1491"/>
      <c r="AT554" s="1148"/>
      <c r="AU554" s="1147"/>
      <c r="BB554" s="3"/>
      <c r="BC554" s="3"/>
      <c r="BD554" s="3"/>
      <c r="BE554" s="3"/>
      <c r="BF554" s="3"/>
      <c r="BG554" s="3"/>
      <c r="BH554" s="3"/>
      <c r="BI554" s="3"/>
    </row>
    <row r="555" spans="1:61" ht="12.95" customHeight="1">
      <c r="B555" s="52" t="s">
        <v>113</v>
      </c>
      <c r="C555" s="1686" t="s">
        <v>2690</v>
      </c>
      <c r="D555" s="1686"/>
      <c r="E555" s="1686"/>
      <c r="F555" s="1686"/>
      <c r="G555" s="1686"/>
      <c r="H555" s="1686"/>
      <c r="I555" s="1686"/>
      <c r="J555" s="1686"/>
      <c r="K555" s="1686"/>
      <c r="L555" s="1686"/>
      <c r="M555" s="1682" t="s">
        <v>2120</v>
      </c>
      <c r="N555" s="1682"/>
      <c r="O555" s="1682"/>
      <c r="P555" s="1682"/>
      <c r="Q555" s="1683">
        <v>22</v>
      </c>
      <c r="R555" s="1684"/>
      <c r="S555" s="1685"/>
      <c r="T555" s="1683"/>
      <c r="U555" s="1684"/>
      <c r="V555" s="1685"/>
      <c r="W555" s="1676">
        <v>7.0000000000000007E-2</v>
      </c>
      <c r="X555" s="1677"/>
      <c r="Y555" s="1678"/>
      <c r="Z555" s="1675" t="s">
        <v>2692</v>
      </c>
      <c r="AA555" s="1675"/>
      <c r="AB555" s="1675"/>
      <c r="AC555" s="1675"/>
      <c r="AD555" s="1675"/>
      <c r="AE555" s="1492">
        <v>2</v>
      </c>
      <c r="AF555" s="1493"/>
      <c r="AG555" s="1493"/>
      <c r="AH555" s="1494"/>
      <c r="AI555" s="1679"/>
      <c r="AJ555" s="1680"/>
      <c r="AK555" s="1680"/>
      <c r="AL555" s="1681"/>
      <c r="AM555" s="1489">
        <v>7231271</v>
      </c>
      <c r="AN555" s="1490"/>
      <c r="AO555" s="1490"/>
      <c r="AP555" s="1490"/>
      <c r="AQ555" s="1490"/>
      <c r="AR555" s="1490"/>
      <c r="AS555" s="1491"/>
      <c r="AT555" s="1148" t="str">
        <f>IF(AND(NOT(C554=""),C555="",NOT(C556="")),"!","")</f>
        <v/>
      </c>
      <c r="AU555" s="1147"/>
      <c r="BB555" s="3"/>
      <c r="BC555" s="3"/>
      <c r="BD555" s="3"/>
      <c r="BE555" s="3"/>
      <c r="BF555" s="3"/>
      <c r="BG555" s="3"/>
      <c r="BH555" s="3"/>
      <c r="BI555" s="3"/>
    </row>
    <row r="556" spans="1:61" ht="12.95" customHeight="1">
      <c r="B556" s="52" t="s">
        <v>119</v>
      </c>
      <c r="C556" s="1686" t="s">
        <v>2691</v>
      </c>
      <c r="D556" s="1686"/>
      <c r="E556" s="1686"/>
      <c r="F556" s="1686"/>
      <c r="G556" s="1686"/>
      <c r="H556" s="1686"/>
      <c r="I556" s="1686"/>
      <c r="J556" s="1686"/>
      <c r="K556" s="1686"/>
      <c r="L556" s="1686"/>
      <c r="M556" s="1682" t="s">
        <v>2118</v>
      </c>
      <c r="N556" s="1682"/>
      <c r="O556" s="1682"/>
      <c r="P556" s="1682"/>
      <c r="Q556" s="1683">
        <v>22</v>
      </c>
      <c r="R556" s="1684"/>
      <c r="S556" s="1685"/>
      <c r="T556" s="1683"/>
      <c r="U556" s="1684"/>
      <c r="V556" s="1685"/>
      <c r="W556" s="1676">
        <v>7.4999999999999997E-2</v>
      </c>
      <c r="X556" s="1677"/>
      <c r="Y556" s="1678"/>
      <c r="Z556" s="1675" t="s">
        <v>2692</v>
      </c>
      <c r="AA556" s="1675"/>
      <c r="AB556" s="1675"/>
      <c r="AC556" s="1675"/>
      <c r="AD556" s="1675"/>
      <c r="AE556" s="1492">
        <v>2</v>
      </c>
      <c r="AF556" s="1493"/>
      <c r="AG556" s="1493"/>
      <c r="AH556" s="1494"/>
      <c r="AI556" s="1679"/>
      <c r="AJ556" s="1680"/>
      <c r="AK556" s="1680"/>
      <c r="AL556" s="1681"/>
      <c r="AM556" s="1489">
        <v>12755905</v>
      </c>
      <c r="AN556" s="1490"/>
      <c r="AO556" s="1490"/>
      <c r="AP556" s="1490"/>
      <c r="AQ556" s="1490"/>
      <c r="AR556" s="1490"/>
      <c r="AS556" s="1491"/>
      <c r="AT556" s="1148" t="str">
        <f>IF(AND(NOT(C555=""),C556="",NOT(C557="")),"!","")</f>
        <v/>
      </c>
      <c r="AU556" s="1147"/>
      <c r="BB556" s="3"/>
      <c r="BC556" s="3"/>
      <c r="BD556" s="3"/>
      <c r="BE556" s="3"/>
      <c r="BF556" s="3"/>
      <c r="BG556" s="3"/>
      <c r="BH556" s="3"/>
      <c r="BI556" s="3"/>
    </row>
    <row r="557" spans="1:61" ht="12.95" customHeight="1">
      <c r="B557" s="52" t="s">
        <v>581</v>
      </c>
      <c r="C557" s="1686" t="s">
        <v>2693</v>
      </c>
      <c r="D557" s="1686"/>
      <c r="E557" s="1686"/>
      <c r="F557" s="1686"/>
      <c r="G557" s="1686"/>
      <c r="H557" s="1686"/>
      <c r="I557" s="1686"/>
      <c r="J557" s="1686"/>
      <c r="K557" s="1686"/>
      <c r="L557" s="1686"/>
      <c r="M557" s="1682" t="s">
        <v>2110</v>
      </c>
      <c r="N557" s="1682"/>
      <c r="O557" s="1682"/>
      <c r="P557" s="1682"/>
      <c r="Q557" s="1683"/>
      <c r="R557" s="1684"/>
      <c r="S557" s="1685"/>
      <c r="T557" s="1683"/>
      <c r="U557" s="1684"/>
      <c r="V557" s="1685"/>
      <c r="W557" s="1676"/>
      <c r="X557" s="1677"/>
      <c r="Y557" s="1678"/>
      <c r="Z557" s="1675" t="s">
        <v>591</v>
      </c>
      <c r="AA557" s="1675"/>
      <c r="AB557" s="1675"/>
      <c r="AC557" s="1675"/>
      <c r="AD557" s="1675"/>
      <c r="AE557" s="1492"/>
      <c r="AF557" s="1493"/>
      <c r="AG557" s="1493"/>
      <c r="AH557" s="1494"/>
      <c r="AI557" s="1679"/>
      <c r="AJ557" s="1680"/>
      <c r="AK557" s="1680"/>
      <c r="AL557" s="1681"/>
      <c r="AM557" s="1489">
        <v>11682353</v>
      </c>
      <c r="AN557" s="1490"/>
      <c r="AO557" s="1490"/>
      <c r="AP557" s="1490"/>
      <c r="AQ557" s="1490"/>
      <c r="AR557" s="1490"/>
      <c r="AS557" s="1491"/>
      <c r="AT557" s="1148" t="str">
        <f>IF(AND(NOT(C556=""),C557="",NOT(C558="")),"!","")</f>
        <v/>
      </c>
      <c r="AU557" s="1147"/>
      <c r="BB557" s="3"/>
      <c r="BC557" s="3"/>
      <c r="BD557" s="3"/>
      <c r="BE557" s="3"/>
      <c r="BF557" s="3"/>
      <c r="BG557" s="3"/>
      <c r="BH557" s="3"/>
      <c r="BI557" s="3"/>
    </row>
    <row r="558" spans="1:61" ht="12.95" customHeight="1">
      <c r="B558" s="52" t="s">
        <v>763</v>
      </c>
      <c r="C558" s="1686" t="s">
        <v>2320</v>
      </c>
      <c r="D558" s="1686"/>
      <c r="E558" s="1686"/>
      <c r="F558" s="1686"/>
      <c r="G558" s="1686"/>
      <c r="H558" s="1686"/>
      <c r="I558" s="1686"/>
      <c r="J558" s="1686"/>
      <c r="K558" s="1686"/>
      <c r="L558" s="1686"/>
      <c r="M558" s="1682" t="s">
        <v>2106</v>
      </c>
      <c r="N558" s="1682"/>
      <c r="O558" s="1682"/>
      <c r="P558" s="1682"/>
      <c r="Q558" s="1683"/>
      <c r="R558" s="1684"/>
      <c r="S558" s="1685"/>
      <c r="T558" s="1683"/>
      <c r="U558" s="1684"/>
      <c r="V558" s="1685"/>
      <c r="W558" s="1676"/>
      <c r="X558" s="1677"/>
      <c r="Y558" s="1678"/>
      <c r="Z558" s="1675" t="s">
        <v>591</v>
      </c>
      <c r="AA558" s="1675"/>
      <c r="AB558" s="1675"/>
      <c r="AC558" s="1675"/>
      <c r="AD558" s="1675"/>
      <c r="AE558" s="1492"/>
      <c r="AF558" s="1493"/>
      <c r="AG558" s="1493"/>
      <c r="AH558" s="1494"/>
      <c r="AI558" s="1679"/>
      <c r="AJ558" s="1680"/>
      <c r="AK558" s="1680"/>
      <c r="AL558" s="1681"/>
      <c r="AM558" s="1489">
        <f>AO629</f>
        <v>6679654</v>
      </c>
      <c r="AN558" s="1490"/>
      <c r="AO558" s="1490"/>
      <c r="AP558" s="1490"/>
      <c r="AQ558" s="1490"/>
      <c r="AR558" s="1490"/>
      <c r="AS558" s="1491"/>
      <c r="AT558" s="1148" t="str">
        <f t="shared" ref="AT558:AT565" si="0">IF(AND(NOT(C557=""),C558="",NOT(C559="")),"!","")</f>
        <v/>
      </c>
      <c r="AU558" s="1147"/>
      <c r="BB558" s="3"/>
      <c r="BC558" s="3"/>
      <c r="BD558" s="3"/>
      <c r="BE558" s="3"/>
      <c r="BF558" s="3"/>
      <c r="BG558" s="3"/>
      <c r="BH558" s="3" t="s">
        <v>763</v>
      </c>
      <c r="BI558" s="3" t="str">
        <f>N665</f>
        <v>No</v>
      </c>
    </row>
    <row r="559" spans="1:61" ht="12.95" customHeight="1">
      <c r="B559" s="52" t="s">
        <v>584</v>
      </c>
      <c r="C559" s="1686" t="s">
        <v>2694</v>
      </c>
      <c r="D559" s="1686"/>
      <c r="E559" s="1686"/>
      <c r="F559" s="1686"/>
      <c r="G559" s="1686"/>
      <c r="H559" s="1686"/>
      <c r="I559" s="1686"/>
      <c r="J559" s="1686"/>
      <c r="K559" s="1686"/>
      <c r="L559" s="1686"/>
      <c r="M559" s="1682" t="s">
        <v>2121</v>
      </c>
      <c r="N559" s="1682"/>
      <c r="O559" s="1682"/>
      <c r="P559" s="1682"/>
      <c r="Q559" s="1683"/>
      <c r="R559" s="1684"/>
      <c r="S559" s="1685"/>
      <c r="T559" s="1683"/>
      <c r="U559" s="1684"/>
      <c r="V559" s="1685"/>
      <c r="W559" s="1676"/>
      <c r="X559" s="1677"/>
      <c r="Y559" s="1678"/>
      <c r="Z559" s="1675" t="s">
        <v>591</v>
      </c>
      <c r="AA559" s="1675"/>
      <c r="AB559" s="1675"/>
      <c r="AC559" s="1675"/>
      <c r="AD559" s="1675"/>
      <c r="AE559" s="1492"/>
      <c r="AF559" s="1493"/>
      <c r="AG559" s="1493"/>
      <c r="AH559" s="1494"/>
      <c r="AI559" s="1679"/>
      <c r="AJ559" s="1680"/>
      <c r="AK559" s="1680"/>
      <c r="AL559" s="1681"/>
      <c r="AM559" s="1489">
        <v>923367</v>
      </c>
      <c r="AN559" s="1490"/>
      <c r="AO559" s="1490"/>
      <c r="AP559" s="1490"/>
      <c r="AQ559" s="1490"/>
      <c r="AR559" s="1490"/>
      <c r="AS559" s="1491"/>
      <c r="AT559" s="1148" t="str">
        <f t="shared" si="0"/>
        <v/>
      </c>
      <c r="AU559" s="1147"/>
      <c r="BB559" s="3"/>
      <c r="BC559" s="3"/>
      <c r="BD559" s="3"/>
      <c r="BE559" s="3"/>
      <c r="BF559" s="3"/>
      <c r="BG559" s="3"/>
      <c r="BH559" s="3" t="s">
        <v>584</v>
      </c>
      <c r="BI559" s="3" t="str">
        <f>AG665</f>
        <v>No</v>
      </c>
    </row>
    <row r="560" spans="1:61" ht="12.95" customHeight="1">
      <c r="B560" s="52" t="s">
        <v>455</v>
      </c>
      <c r="C560" s="1686" t="s">
        <v>2695</v>
      </c>
      <c r="D560" s="1686"/>
      <c r="E560" s="1686"/>
      <c r="F560" s="1686"/>
      <c r="G560" s="1686"/>
      <c r="H560" s="1686"/>
      <c r="I560" s="1686"/>
      <c r="J560" s="1686"/>
      <c r="K560" s="1686"/>
      <c r="L560" s="1686"/>
      <c r="M560" s="1682" t="s">
        <v>2105</v>
      </c>
      <c r="N560" s="1682"/>
      <c r="O560" s="1682"/>
      <c r="P560" s="1682"/>
      <c r="Q560" s="1683"/>
      <c r="R560" s="1684"/>
      <c r="S560" s="1685"/>
      <c r="T560" s="1683"/>
      <c r="U560" s="1684"/>
      <c r="V560" s="1685"/>
      <c r="W560" s="1676"/>
      <c r="X560" s="1677"/>
      <c r="Y560" s="1678"/>
      <c r="Z560" s="1675" t="s">
        <v>591</v>
      </c>
      <c r="AA560" s="1675"/>
      <c r="AB560" s="1675"/>
      <c r="AC560" s="1675"/>
      <c r="AD560" s="1675"/>
      <c r="AE560" s="1492"/>
      <c r="AF560" s="1493"/>
      <c r="AG560" s="1493"/>
      <c r="AH560" s="1494"/>
      <c r="AI560" s="1679"/>
      <c r="AJ560" s="1680"/>
      <c r="AK560" s="1680"/>
      <c r="AL560" s="1681"/>
      <c r="AM560" s="1489">
        <f>6066575-10000</f>
        <v>6056575</v>
      </c>
      <c r="AN560" s="1490"/>
      <c r="AO560" s="1490"/>
      <c r="AP560" s="1490"/>
      <c r="AQ560" s="1490"/>
      <c r="AR560" s="1490"/>
      <c r="AS560" s="1491"/>
      <c r="AT560" s="1148" t="str">
        <f t="shared" si="0"/>
        <v/>
      </c>
      <c r="AU560" s="1147"/>
      <c r="BB560" s="3"/>
      <c r="BC560" s="3"/>
      <c r="BD560" s="3"/>
      <c r="BE560" s="3"/>
      <c r="BF560" s="3"/>
      <c r="BG560" s="3"/>
      <c r="BH560" s="3"/>
      <c r="BI560" s="3"/>
    </row>
    <row r="561" spans="1:61" ht="12.95" customHeight="1">
      <c r="B561" s="52" t="s">
        <v>456</v>
      </c>
      <c r="C561" s="1686"/>
      <c r="D561" s="1686"/>
      <c r="E561" s="1686"/>
      <c r="F561" s="1686"/>
      <c r="G561" s="1686"/>
      <c r="H561" s="1686"/>
      <c r="I561" s="1686"/>
      <c r="J561" s="1686"/>
      <c r="K561" s="1686"/>
      <c r="L561" s="1686"/>
      <c r="M561" s="1682" t="s">
        <v>1183</v>
      </c>
      <c r="N561" s="1682"/>
      <c r="O561" s="1682"/>
      <c r="P561" s="1682"/>
      <c r="Q561" s="1683"/>
      <c r="R561" s="1684"/>
      <c r="S561" s="1685"/>
      <c r="T561" s="1683"/>
      <c r="U561" s="1684"/>
      <c r="V561" s="1685"/>
      <c r="W561" s="1676"/>
      <c r="X561" s="1677"/>
      <c r="Y561" s="1678"/>
      <c r="Z561" s="1675" t="s">
        <v>1183</v>
      </c>
      <c r="AA561" s="1675"/>
      <c r="AB561" s="1675"/>
      <c r="AC561" s="1675"/>
      <c r="AD561" s="1675"/>
      <c r="AE561" s="1492"/>
      <c r="AF561" s="1493"/>
      <c r="AG561" s="1493"/>
      <c r="AH561" s="1494"/>
      <c r="AI561" s="1679"/>
      <c r="AJ561" s="1680"/>
      <c r="AK561" s="1680"/>
      <c r="AL561" s="1681"/>
      <c r="AM561" s="1489"/>
      <c r="AN561" s="1490"/>
      <c r="AO561" s="1490"/>
      <c r="AP561" s="1490"/>
      <c r="AQ561" s="1490"/>
      <c r="AR561" s="1490"/>
      <c r="AS561" s="1491"/>
      <c r="AT561" s="1148" t="str">
        <f t="shared" si="0"/>
        <v/>
      </c>
      <c r="AU561" s="1147"/>
      <c r="BB561" s="3"/>
      <c r="BC561" s="3"/>
      <c r="BD561" s="3"/>
      <c r="BE561" s="3"/>
      <c r="BF561" s="3"/>
      <c r="BG561" s="3"/>
      <c r="BH561" s="3"/>
      <c r="BI561" s="3"/>
    </row>
    <row r="562" spans="1:61" ht="12.95" customHeight="1">
      <c r="B562" s="52" t="s">
        <v>461</v>
      </c>
      <c r="C562" s="1686"/>
      <c r="D562" s="1686"/>
      <c r="E562" s="1686"/>
      <c r="F562" s="1686"/>
      <c r="G562" s="1686"/>
      <c r="H562" s="1686"/>
      <c r="I562" s="1686"/>
      <c r="J562" s="1686"/>
      <c r="K562" s="1686"/>
      <c r="L562" s="1686"/>
      <c r="M562" s="1682" t="s">
        <v>1183</v>
      </c>
      <c r="N562" s="1682"/>
      <c r="O562" s="1682"/>
      <c r="P562" s="1682"/>
      <c r="Q562" s="1683"/>
      <c r="R562" s="1684"/>
      <c r="S562" s="1685"/>
      <c r="T562" s="1683"/>
      <c r="U562" s="1684"/>
      <c r="V562" s="1685"/>
      <c r="W562" s="1676"/>
      <c r="X562" s="1677"/>
      <c r="Y562" s="1678"/>
      <c r="Z562" s="1675" t="s">
        <v>1183</v>
      </c>
      <c r="AA562" s="1675"/>
      <c r="AB562" s="1675"/>
      <c r="AC562" s="1675"/>
      <c r="AD562" s="1675"/>
      <c r="AE562" s="1492"/>
      <c r="AF562" s="1493"/>
      <c r="AG562" s="1493"/>
      <c r="AH562" s="1494"/>
      <c r="AI562" s="1679"/>
      <c r="AJ562" s="1680"/>
      <c r="AK562" s="1680"/>
      <c r="AL562" s="1681"/>
      <c r="AM562" s="1489"/>
      <c r="AN562" s="1490"/>
      <c r="AO562" s="1490"/>
      <c r="AP562" s="1490"/>
      <c r="AQ562" s="1490"/>
      <c r="AR562" s="1490"/>
      <c r="AS562" s="1491"/>
      <c r="AT562" s="1148" t="str">
        <f t="shared" si="0"/>
        <v/>
      </c>
      <c r="AU562" s="1147"/>
      <c r="BB562" s="3"/>
      <c r="BC562" s="3"/>
      <c r="BD562" s="3"/>
      <c r="BE562" s="3"/>
      <c r="BF562" s="3"/>
      <c r="BG562" s="3"/>
      <c r="BH562" s="3"/>
      <c r="BI562" s="3"/>
    </row>
    <row r="563" spans="1:61" ht="12.95" customHeight="1">
      <c r="B563" s="52" t="s">
        <v>646</v>
      </c>
      <c r="C563" s="1686"/>
      <c r="D563" s="1686"/>
      <c r="E563" s="1686"/>
      <c r="F563" s="1686"/>
      <c r="G563" s="1686"/>
      <c r="H563" s="1686"/>
      <c r="I563" s="1686"/>
      <c r="J563" s="1686"/>
      <c r="K563" s="1686"/>
      <c r="L563" s="1686"/>
      <c r="M563" s="1682" t="s">
        <v>1183</v>
      </c>
      <c r="N563" s="1682"/>
      <c r="O563" s="1682"/>
      <c r="P563" s="1682"/>
      <c r="Q563" s="1683"/>
      <c r="R563" s="1684"/>
      <c r="S563" s="1685"/>
      <c r="T563" s="1683"/>
      <c r="U563" s="1684"/>
      <c r="V563" s="1685"/>
      <c r="W563" s="1676"/>
      <c r="X563" s="1677"/>
      <c r="Y563" s="1678"/>
      <c r="Z563" s="1675" t="s">
        <v>1183</v>
      </c>
      <c r="AA563" s="1675"/>
      <c r="AB563" s="1675"/>
      <c r="AC563" s="1675"/>
      <c r="AD563" s="1675"/>
      <c r="AE563" s="1492"/>
      <c r="AF563" s="1493"/>
      <c r="AG563" s="1493"/>
      <c r="AH563" s="1494"/>
      <c r="AI563" s="1679"/>
      <c r="AJ563" s="1680"/>
      <c r="AK563" s="1680"/>
      <c r="AL563" s="1681"/>
      <c r="AM563" s="1489"/>
      <c r="AN563" s="1490"/>
      <c r="AO563" s="1490"/>
      <c r="AP563" s="1490"/>
      <c r="AQ563" s="1490"/>
      <c r="AR563" s="1490"/>
      <c r="AS563" s="1491"/>
      <c r="AT563" s="1148" t="str">
        <f t="shared" si="0"/>
        <v/>
      </c>
      <c r="BB563" s="3"/>
      <c r="BC563" s="3"/>
      <c r="BD563" s="3"/>
      <c r="BE563" s="3"/>
      <c r="BF563" s="3"/>
      <c r="BG563" s="3"/>
      <c r="BH563" s="3"/>
      <c r="BI563" s="3"/>
    </row>
    <row r="564" spans="1:61" ht="12.95" customHeight="1">
      <c r="B564" s="52" t="s">
        <v>361</v>
      </c>
      <c r="C564" s="1686"/>
      <c r="D564" s="1686"/>
      <c r="E564" s="1686"/>
      <c r="F564" s="1686"/>
      <c r="G564" s="1686"/>
      <c r="H564" s="1686"/>
      <c r="I564" s="1686"/>
      <c r="J564" s="1686"/>
      <c r="K564" s="1686"/>
      <c r="L564" s="1686"/>
      <c r="M564" s="1682" t="s">
        <v>1183</v>
      </c>
      <c r="N564" s="1682"/>
      <c r="O564" s="1682"/>
      <c r="P564" s="1682"/>
      <c r="Q564" s="1683"/>
      <c r="R564" s="1684"/>
      <c r="S564" s="1685"/>
      <c r="T564" s="1683"/>
      <c r="U564" s="1684"/>
      <c r="V564" s="1685"/>
      <c r="W564" s="1676"/>
      <c r="X564" s="1677"/>
      <c r="Y564" s="1678"/>
      <c r="Z564" s="1675" t="s">
        <v>1183</v>
      </c>
      <c r="AA564" s="1675"/>
      <c r="AB564" s="1675"/>
      <c r="AC564" s="1675"/>
      <c r="AD564" s="1675"/>
      <c r="AE564" s="1492"/>
      <c r="AF564" s="1493"/>
      <c r="AG564" s="1493"/>
      <c r="AH564" s="1494"/>
      <c r="AI564" s="1679"/>
      <c r="AJ564" s="1680"/>
      <c r="AK564" s="1680"/>
      <c r="AL564" s="1681"/>
      <c r="AM564" s="1489"/>
      <c r="AN564" s="1490"/>
      <c r="AO564" s="1490"/>
      <c r="AP564" s="1490"/>
      <c r="AQ564" s="1490"/>
      <c r="AR564" s="1490"/>
      <c r="AS564" s="1491"/>
      <c r="AT564" s="1148" t="str">
        <f t="shared" si="0"/>
        <v/>
      </c>
      <c r="BB564" s="3"/>
      <c r="BC564" s="3"/>
      <c r="BD564" s="3"/>
      <c r="BE564" s="3"/>
      <c r="BF564" s="3"/>
      <c r="BG564" s="3"/>
      <c r="BH564" s="3"/>
      <c r="BI564" s="3"/>
    </row>
    <row r="565" spans="1:61" ht="12.95" customHeight="1">
      <c r="B565" s="52" t="s">
        <v>362</v>
      </c>
      <c r="C565" s="1686"/>
      <c r="D565" s="1686"/>
      <c r="E565" s="1686"/>
      <c r="F565" s="1686"/>
      <c r="G565" s="1686"/>
      <c r="H565" s="1686"/>
      <c r="I565" s="1686"/>
      <c r="J565" s="1686"/>
      <c r="K565" s="1686"/>
      <c r="L565" s="1686"/>
      <c r="M565" s="1682" t="s">
        <v>1183</v>
      </c>
      <c r="N565" s="1682"/>
      <c r="O565" s="1682"/>
      <c r="P565" s="1682"/>
      <c r="Q565" s="1683"/>
      <c r="R565" s="1684"/>
      <c r="S565" s="1685"/>
      <c r="T565" s="1683"/>
      <c r="U565" s="1684"/>
      <c r="V565" s="1685"/>
      <c r="W565" s="1676"/>
      <c r="X565" s="1677"/>
      <c r="Y565" s="1678"/>
      <c r="Z565" s="1675" t="s">
        <v>1183</v>
      </c>
      <c r="AA565" s="1675"/>
      <c r="AB565" s="1675"/>
      <c r="AC565" s="1675"/>
      <c r="AD565" s="1675"/>
      <c r="AE565" s="1492"/>
      <c r="AF565" s="1493"/>
      <c r="AG565" s="1493"/>
      <c r="AH565" s="1494"/>
      <c r="AI565" s="1679"/>
      <c r="AJ565" s="1680"/>
      <c r="AK565" s="1680"/>
      <c r="AL565" s="1681"/>
      <c r="AM565" s="1489"/>
      <c r="AN565" s="1490"/>
      <c r="AO565" s="1490"/>
      <c r="AP565" s="1490"/>
      <c r="AQ565" s="1490"/>
      <c r="AR565" s="1490"/>
      <c r="AS565" s="1491"/>
      <c r="AT565" s="1148" t="str">
        <f t="shared" si="0"/>
        <v/>
      </c>
      <c r="BB565" s="3"/>
      <c r="BC565" s="3"/>
      <c r="BD565" s="3"/>
      <c r="BE565" s="3"/>
      <c r="BF565" s="3"/>
      <c r="BG565" s="3"/>
      <c r="BH565" s="3"/>
      <c r="BI565" s="3"/>
    </row>
    <row r="566" spans="1:61" ht="12.95" customHeight="1">
      <c r="B566" s="1502" t="s">
        <v>127</v>
      </c>
      <c r="C566" s="1503"/>
      <c r="D566" s="1503"/>
      <c r="E566" s="1503"/>
      <c r="F566" s="1503"/>
      <c r="G566" s="1503"/>
      <c r="H566" s="1503"/>
      <c r="I566" s="1503"/>
      <c r="J566" s="1503"/>
      <c r="K566" s="1503"/>
      <c r="L566" s="1503"/>
      <c r="M566" s="1503"/>
      <c r="N566" s="1503"/>
      <c r="O566" s="1503"/>
      <c r="P566" s="1503"/>
      <c r="Q566" s="1503"/>
      <c r="R566" s="1503"/>
      <c r="S566" s="1503"/>
      <c r="T566" s="1503"/>
      <c r="U566" s="1660"/>
      <c r="V566" s="1503"/>
      <c r="W566" s="1503"/>
      <c r="X566" s="1503"/>
      <c r="Y566" s="1503"/>
      <c r="Z566" s="1503"/>
      <c r="AA566" s="1503"/>
      <c r="AB566" s="1503"/>
      <c r="AC566" s="1503"/>
      <c r="AD566" s="1503"/>
      <c r="AE566" s="1503"/>
      <c r="AF566" s="1503"/>
      <c r="AG566" s="1503"/>
      <c r="AH566" s="1503"/>
      <c r="AI566" s="1503"/>
      <c r="AJ566" s="1503"/>
      <c r="AK566" s="1503"/>
      <c r="AL566" s="1504"/>
      <c r="AM566" s="1386">
        <f>SUM(AM554:AS565)</f>
        <v>90329125</v>
      </c>
      <c r="AN566" s="1387"/>
      <c r="AO566" s="1387"/>
      <c r="AP566" s="1387"/>
      <c r="AQ566" s="1387"/>
      <c r="AR566" s="1387"/>
      <c r="AS566" s="1388"/>
      <c r="BB566" s="3"/>
      <c r="BC566" s="3"/>
      <c r="BD566" s="3"/>
      <c r="BE566" s="3"/>
      <c r="BF566" s="3"/>
      <c r="BG566" s="3"/>
      <c r="BH566" s="3" t="s">
        <v>455</v>
      </c>
      <c r="BI566" s="3" t="str">
        <f>N673</f>
        <v>No</v>
      </c>
    </row>
    <row r="567" spans="1:61"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456</v>
      </c>
      <c r="BI567" s="3" t="str">
        <f>AG673</f>
        <v>No</v>
      </c>
    </row>
    <row r="568" spans="1:61" ht="12.95" customHeight="1">
      <c r="A568" s="55" t="s">
        <v>112</v>
      </c>
      <c r="B568" t="s">
        <v>463</v>
      </c>
      <c r="G568" s="1389" t="str">
        <f>C554</f>
        <v>Citibank-Conduit (Tax-Exempt New)</v>
      </c>
      <c r="H568" s="1389"/>
      <c r="I568" s="1389"/>
      <c r="J568" s="1389"/>
      <c r="K568" s="1389"/>
      <c r="L568" s="1389"/>
      <c r="M568" s="1389"/>
      <c r="N568" s="1389"/>
      <c r="O568" s="1389"/>
      <c r="P568" s="1389"/>
      <c r="Q568" s="1389"/>
      <c r="R568" s="1389"/>
      <c r="S568" s="8"/>
      <c r="T568" s="55" t="s">
        <v>113</v>
      </c>
      <c r="U568" t="s">
        <v>463</v>
      </c>
      <c r="Z568" s="1389" t="str">
        <f>C555</f>
        <v>Citibank-Conduit (TE Recycled)</v>
      </c>
      <c r="AA568" s="1389"/>
      <c r="AB568" s="1389"/>
      <c r="AC568" s="1389"/>
      <c r="AD568" s="1389"/>
      <c r="AE568" s="1389"/>
      <c r="AF568" s="1389"/>
      <c r="AG568" s="1389"/>
      <c r="AH568" s="1389"/>
      <c r="AI568" s="1389"/>
      <c r="AJ568" s="1389"/>
      <c r="AK568" s="1389"/>
      <c r="BB568" s="3"/>
      <c r="BC568" s="3"/>
      <c r="BD568" s="3"/>
      <c r="BE568" s="3"/>
      <c r="BF568" s="3"/>
      <c r="BG568" s="3"/>
      <c r="BH568" s="3"/>
      <c r="BI568" s="3"/>
    </row>
    <row r="569" spans="1:61" ht="12.95" customHeight="1">
      <c r="A569" s="22"/>
      <c r="B569" t="s">
        <v>85</v>
      </c>
      <c r="G569" s="1393" t="s">
        <v>2696</v>
      </c>
      <c r="H569" s="1393"/>
      <c r="I569" s="1393"/>
      <c r="J569" s="1393"/>
      <c r="K569" s="1393"/>
      <c r="L569" s="1393"/>
      <c r="M569" s="1393"/>
      <c r="N569" s="1393"/>
      <c r="O569" s="1393"/>
      <c r="P569" s="1393"/>
      <c r="Q569" s="1393"/>
      <c r="R569" s="1393"/>
      <c r="S569" s="8"/>
      <c r="T569" s="22"/>
      <c r="U569" t="s">
        <v>85</v>
      </c>
      <c r="Z569" s="1393" t="s">
        <v>2696</v>
      </c>
      <c r="AA569" s="1393"/>
      <c r="AB569" s="1393"/>
      <c r="AC569" s="1393"/>
      <c r="AD569" s="1393"/>
      <c r="AE569" s="1393"/>
      <c r="AF569" s="1393"/>
      <c r="AG569" s="1393"/>
      <c r="AH569" s="1393"/>
      <c r="AI569" s="1393"/>
      <c r="AJ569" s="1393"/>
      <c r="AK569" s="1393"/>
      <c r="BB569" s="3"/>
      <c r="BC569" s="3"/>
      <c r="BD569" s="3"/>
      <c r="BE569" s="3"/>
      <c r="BF569" s="3"/>
      <c r="BG569" s="3"/>
      <c r="BH569" s="3"/>
      <c r="BI569" s="3"/>
    </row>
    <row r="570" spans="1:61" ht="12.95" customHeight="1">
      <c r="A570" s="22"/>
      <c r="B570" t="s">
        <v>580</v>
      </c>
      <c r="G570" s="1393" t="s">
        <v>2697</v>
      </c>
      <c r="H570" s="1393"/>
      <c r="I570" s="1393"/>
      <c r="J570" s="1393"/>
      <c r="K570" s="1393"/>
      <c r="L570" s="1393"/>
      <c r="M570" s="1393"/>
      <c r="N570" s="1393"/>
      <c r="O570" s="1393"/>
      <c r="P570" s="1393"/>
      <c r="Q570" s="1393"/>
      <c r="R570" s="1393"/>
      <c r="T570" s="22"/>
      <c r="U570" t="s">
        <v>580</v>
      </c>
      <c r="Z570" s="1397" t="s">
        <v>2697</v>
      </c>
      <c r="AA570" s="1397"/>
      <c r="AB570" s="1397"/>
      <c r="AC570" s="1397"/>
      <c r="AD570" s="1397"/>
      <c r="AE570" s="1397"/>
      <c r="AF570" s="1397"/>
      <c r="AG570" s="1397"/>
      <c r="AH570" s="1397"/>
      <c r="AI570" s="1397"/>
      <c r="AJ570" s="1397"/>
      <c r="AK570" s="1397"/>
      <c r="BB570" s="3"/>
      <c r="BC570" s="3"/>
      <c r="BD570" s="3"/>
      <c r="BE570" s="3"/>
      <c r="BF570" s="3"/>
      <c r="BG570" s="3"/>
      <c r="BH570" s="3"/>
      <c r="BI570" s="3"/>
    </row>
    <row r="571" spans="1:61" ht="12.95" customHeight="1">
      <c r="A571" s="22"/>
      <c r="B571" t="s">
        <v>17</v>
      </c>
      <c r="G571" s="1393" t="s">
        <v>2698</v>
      </c>
      <c r="H571" s="1393"/>
      <c r="I571" s="1393"/>
      <c r="J571" s="1393"/>
      <c r="K571" s="1393"/>
      <c r="L571" s="1393"/>
      <c r="M571" s="1393"/>
      <c r="N571" s="1393"/>
      <c r="O571" s="1393"/>
      <c r="P571" s="1393"/>
      <c r="Q571" s="1393"/>
      <c r="R571" s="1393"/>
      <c r="S571" s="8"/>
      <c r="T571" s="22"/>
      <c r="U571" t="s">
        <v>17</v>
      </c>
      <c r="Z571" s="1397" t="s">
        <v>2698</v>
      </c>
      <c r="AA571" s="1397"/>
      <c r="AB571" s="1397"/>
      <c r="AC571" s="1397"/>
      <c r="AD571" s="1397"/>
      <c r="AE571" s="1397"/>
      <c r="AF571" s="1397"/>
      <c r="AG571" s="1397"/>
      <c r="AH571" s="1397"/>
      <c r="AI571" s="1397"/>
      <c r="AJ571" s="1397"/>
      <c r="AK571" s="1397"/>
      <c r="BB571" s="3"/>
      <c r="BC571" s="3"/>
      <c r="BD571" s="3"/>
      <c r="BE571" s="3"/>
      <c r="BF571" s="3"/>
      <c r="BG571" s="3"/>
      <c r="BH571" s="3"/>
      <c r="BI571" s="3"/>
    </row>
    <row r="572" spans="1:61" ht="12.95" customHeight="1">
      <c r="A572" s="22"/>
      <c r="B572" t="s">
        <v>315</v>
      </c>
      <c r="G572" s="1505" t="s">
        <v>2699</v>
      </c>
      <c r="H572" s="1505"/>
      <c r="I572" s="1505"/>
      <c r="J572" s="1505"/>
      <c r="K572" s="1505"/>
      <c r="L572" s="1505"/>
      <c r="O572" s="33" t="s">
        <v>205</v>
      </c>
      <c r="P572" s="1483"/>
      <c r="Q572" s="1483"/>
      <c r="R572" s="1483"/>
      <c r="S572" s="10"/>
      <c r="T572" s="22"/>
      <c r="U572" t="s">
        <v>315</v>
      </c>
      <c r="Z572" s="1505" t="s">
        <v>2699</v>
      </c>
      <c r="AA572" s="1505"/>
      <c r="AB572" s="1505"/>
      <c r="AC572" s="1505"/>
      <c r="AD572" s="1505"/>
      <c r="AE572" s="1505"/>
      <c r="AH572" s="33" t="s">
        <v>205</v>
      </c>
      <c r="AI572" s="1483"/>
      <c r="AJ572" s="1483"/>
      <c r="AK572" s="1483"/>
      <c r="BB572" s="3"/>
      <c r="BC572" s="3"/>
      <c r="BD572" s="3"/>
      <c r="BE572" s="3"/>
      <c r="BF572" s="3"/>
      <c r="BG572" s="3"/>
      <c r="BH572" s="3"/>
      <c r="BI572" s="3"/>
    </row>
    <row r="573" spans="1:61" ht="12.95" customHeight="1">
      <c r="A573" s="22"/>
      <c r="B573" t="s">
        <v>18</v>
      </c>
      <c r="H573" s="1393" t="s">
        <v>2700</v>
      </c>
      <c r="I573" s="1393"/>
      <c r="J573" s="1393"/>
      <c r="K573" s="1393"/>
      <c r="L573" s="1393"/>
      <c r="M573" s="1393"/>
      <c r="N573" s="1393"/>
      <c r="O573" s="1393"/>
      <c r="P573" s="1393"/>
      <c r="Q573" s="1393"/>
      <c r="R573" s="1393"/>
      <c r="S573" s="8"/>
      <c r="T573" s="22"/>
      <c r="U573" t="s">
        <v>18</v>
      </c>
      <c r="AA573" s="1393" t="s">
        <v>2702</v>
      </c>
      <c r="AB573" s="1393"/>
      <c r="AC573" s="1393"/>
      <c r="AD573" s="1393"/>
      <c r="AE573" s="1393"/>
      <c r="AF573" s="1393"/>
      <c r="AG573" s="1393"/>
      <c r="AH573" s="1393"/>
      <c r="AI573" s="1393"/>
      <c r="AJ573" s="1393"/>
      <c r="AK573" s="1393"/>
      <c r="BB573" s="3"/>
      <c r="BC573" s="3"/>
      <c r="BD573" s="3"/>
      <c r="BE573" s="3"/>
      <c r="BF573" s="3"/>
      <c r="BG573" s="3"/>
      <c r="BH573" s="3"/>
      <c r="BI573" s="3"/>
    </row>
    <row r="574" spans="1:61" ht="12.95" customHeight="1">
      <c r="A574" s="22"/>
      <c r="B574" s="320" t="s">
        <v>1184</v>
      </c>
      <c r="H574" s="8"/>
      <c r="I574" s="8"/>
      <c r="J574" s="8"/>
      <c r="K574" s="8"/>
      <c r="L574" s="8"/>
      <c r="M574" s="1696" t="s">
        <v>2701</v>
      </c>
      <c r="N574" s="1696"/>
      <c r="O574" s="1696"/>
      <c r="P574" s="1696"/>
      <c r="Q574" s="1696"/>
      <c r="R574" s="1696"/>
      <c r="S574" s="8"/>
      <c r="T574" s="22"/>
      <c r="U574" s="320" t="s">
        <v>1184</v>
      </c>
      <c r="AA574" s="8"/>
      <c r="AB574" s="8"/>
      <c r="AC574" s="8"/>
      <c r="AD574" s="8"/>
      <c r="AE574" s="8"/>
      <c r="AF574" s="1696" t="s">
        <v>2701</v>
      </c>
      <c r="AG574" s="1696"/>
      <c r="AH574" s="1696"/>
      <c r="AI574" s="1696"/>
      <c r="AJ574" s="1696"/>
      <c r="AK574" s="1696"/>
      <c r="BB574" s="3"/>
      <c r="BC574" s="3"/>
      <c r="BD574" s="3"/>
      <c r="BE574" s="3"/>
      <c r="BF574" s="3"/>
      <c r="BG574" s="3"/>
      <c r="BH574" s="3"/>
      <c r="BI574" s="3"/>
    </row>
    <row r="575" spans="1:61" ht="12.95" customHeight="1">
      <c r="A575" s="22"/>
      <c r="B575" t="s">
        <v>20</v>
      </c>
      <c r="N575" s="1379" t="s">
        <v>545</v>
      </c>
      <c r="O575" s="1379"/>
      <c r="T575" s="22"/>
      <c r="U575" t="s">
        <v>20</v>
      </c>
      <c r="AG575" s="1379" t="s">
        <v>545</v>
      </c>
      <c r="AH575" s="1379"/>
      <c r="BB575" s="3"/>
      <c r="BC575" s="3"/>
      <c r="BD575" s="3"/>
      <c r="BE575" s="3"/>
      <c r="BF575" s="3"/>
      <c r="BG575" s="3"/>
      <c r="BH575" s="3"/>
      <c r="BI575" s="3"/>
    </row>
    <row r="576" spans="1:61" ht="12.95" customHeight="1">
      <c r="A576" s="22"/>
      <c r="T576" s="22"/>
      <c r="BB576" s="3"/>
      <c r="BC576" s="3"/>
      <c r="BD576" s="3"/>
      <c r="BE576" s="3"/>
      <c r="BF576" s="3"/>
      <c r="BG576" s="3"/>
      <c r="BH576" s="3"/>
      <c r="BI576" s="3"/>
    </row>
    <row r="577" spans="1:55" ht="12.95" customHeight="1">
      <c r="A577" s="55" t="s">
        <v>119</v>
      </c>
      <c r="B577" t="s">
        <v>463</v>
      </c>
      <c r="G577" s="1389" t="str">
        <f>C556</f>
        <v>Citibank-Conduit (Taxable)</v>
      </c>
      <c r="H577" s="1389"/>
      <c r="I577" s="1389"/>
      <c r="J577" s="1389"/>
      <c r="K577" s="1389"/>
      <c r="L577" s="1389"/>
      <c r="M577" s="1389"/>
      <c r="N577" s="1389"/>
      <c r="O577" s="1389"/>
      <c r="P577" s="1389"/>
      <c r="Q577" s="1389"/>
      <c r="R577" s="1389"/>
      <c r="T577" s="55" t="s">
        <v>581</v>
      </c>
      <c r="U577" t="s">
        <v>463</v>
      </c>
      <c r="Z577" s="1389" t="str">
        <f>C557</f>
        <v>R4 Capital - Tax Credit Equity</v>
      </c>
      <c r="AA577" s="1389"/>
      <c r="AB577" s="1389"/>
      <c r="AC577" s="1389"/>
      <c r="AD577" s="1389"/>
      <c r="AE577" s="1389"/>
      <c r="AF577" s="1389"/>
      <c r="AG577" s="1389"/>
      <c r="AH577" s="1389"/>
      <c r="AI577" s="1389"/>
      <c r="AJ577" s="1389"/>
      <c r="AK577" s="1389"/>
      <c r="BB577" s="3"/>
      <c r="BC577" s="3"/>
    </row>
    <row r="578" spans="1:55" ht="12.95" customHeight="1">
      <c r="A578" s="22"/>
      <c r="B578" t="s">
        <v>85</v>
      </c>
      <c r="G578" s="1393" t="s">
        <v>2696</v>
      </c>
      <c r="H578" s="1393"/>
      <c r="I578" s="1393"/>
      <c r="J578" s="1393"/>
      <c r="K578" s="1393"/>
      <c r="L578" s="1393"/>
      <c r="M578" s="1393"/>
      <c r="N578" s="1393"/>
      <c r="O578" s="1393"/>
      <c r="P578" s="1393"/>
      <c r="Q578" s="1393"/>
      <c r="R578" s="1393"/>
      <c r="T578" s="22"/>
      <c r="U578" t="s">
        <v>85</v>
      </c>
      <c r="Z578" s="1393" t="s">
        <v>2673</v>
      </c>
      <c r="AA578" s="1393"/>
      <c r="AB578" s="1393"/>
      <c r="AC578" s="1393"/>
      <c r="AD578" s="1393"/>
      <c r="AE578" s="1393"/>
      <c r="AF578" s="1393"/>
      <c r="AG578" s="1393"/>
      <c r="AH578" s="1393"/>
      <c r="AI578" s="1393"/>
      <c r="AJ578" s="1393"/>
      <c r="AK578" s="1393"/>
      <c r="BB578" s="3"/>
      <c r="BC578" s="3"/>
    </row>
    <row r="579" spans="1:55" ht="12.95" customHeight="1">
      <c r="A579" s="22"/>
      <c r="B579" t="s">
        <v>580</v>
      </c>
      <c r="G579" s="1397" t="s">
        <v>2697</v>
      </c>
      <c r="H579" s="1397"/>
      <c r="I579" s="1397"/>
      <c r="J579" s="1397"/>
      <c r="K579" s="1397"/>
      <c r="L579" s="1397"/>
      <c r="M579" s="1397"/>
      <c r="N579" s="1397"/>
      <c r="O579" s="1397"/>
      <c r="P579" s="1397"/>
      <c r="Q579" s="1397"/>
      <c r="R579" s="1397"/>
      <c r="T579" s="22"/>
      <c r="U579" t="s">
        <v>580</v>
      </c>
      <c r="Z579" s="1397" t="s">
        <v>2674</v>
      </c>
      <c r="AA579" s="1397"/>
      <c r="AB579" s="1397"/>
      <c r="AC579" s="1397"/>
      <c r="AD579" s="1397"/>
      <c r="AE579" s="1397"/>
      <c r="AF579" s="1397"/>
      <c r="AG579" s="1397"/>
      <c r="AH579" s="1397"/>
      <c r="AI579" s="1397"/>
      <c r="AJ579" s="1397"/>
      <c r="AK579" s="1397"/>
      <c r="BB579" s="3"/>
      <c r="BC579" s="3"/>
    </row>
    <row r="580" spans="1:55" ht="12.95" customHeight="1">
      <c r="A580" s="22"/>
      <c r="B580" t="s">
        <v>17</v>
      </c>
      <c r="G580" s="1397" t="s">
        <v>2698</v>
      </c>
      <c r="H580" s="1397"/>
      <c r="I580" s="1397"/>
      <c r="J580" s="1397"/>
      <c r="K580" s="1397"/>
      <c r="L580" s="1397"/>
      <c r="M580" s="1397"/>
      <c r="N580" s="1397"/>
      <c r="O580" s="1397"/>
      <c r="P580" s="1397"/>
      <c r="Q580" s="1397"/>
      <c r="R580" s="1397"/>
      <c r="T580" s="22"/>
      <c r="U580" t="s">
        <v>17</v>
      </c>
      <c r="Z580" s="1397" t="s">
        <v>2675</v>
      </c>
      <c r="AA580" s="1397"/>
      <c r="AB580" s="1397"/>
      <c r="AC580" s="1397"/>
      <c r="AD580" s="1397"/>
      <c r="AE580" s="1397"/>
      <c r="AF580" s="1397"/>
      <c r="AG580" s="1397"/>
      <c r="AH580" s="1397"/>
      <c r="AI580" s="1397"/>
      <c r="AJ580" s="1397"/>
      <c r="AK580" s="1397"/>
      <c r="BB580" s="3"/>
      <c r="BC580" s="3"/>
    </row>
    <row r="581" spans="1:55" ht="12.95" customHeight="1">
      <c r="A581" s="22"/>
      <c r="B581" t="s">
        <v>315</v>
      </c>
      <c r="G581" s="1505" t="s">
        <v>2699</v>
      </c>
      <c r="H581" s="1505"/>
      <c r="I581" s="1505"/>
      <c r="J581" s="1505"/>
      <c r="K581" s="1505"/>
      <c r="L581" s="1505"/>
      <c r="O581" s="33" t="s">
        <v>205</v>
      </c>
      <c r="P581" s="1483"/>
      <c r="Q581" s="1483"/>
      <c r="R581" s="1483"/>
      <c r="T581" s="22"/>
      <c r="U581" t="s">
        <v>315</v>
      </c>
      <c r="Z581" s="1505" t="s">
        <v>2676</v>
      </c>
      <c r="AA581" s="1505"/>
      <c r="AB581" s="1505"/>
      <c r="AC581" s="1505"/>
      <c r="AD581" s="1505"/>
      <c r="AE581" s="1505"/>
      <c r="AH581" s="33" t="s">
        <v>205</v>
      </c>
      <c r="AI581" s="1483"/>
      <c r="AJ581" s="1483"/>
      <c r="AK581" s="1483"/>
      <c r="BB581" s="3"/>
      <c r="BC581" s="3"/>
    </row>
    <row r="582" spans="1:55" ht="12.95" customHeight="1">
      <c r="A582" s="22"/>
      <c r="B582" t="s">
        <v>18</v>
      </c>
      <c r="H582" s="1393" t="s">
        <v>2703</v>
      </c>
      <c r="I582" s="1393"/>
      <c r="J582" s="1393"/>
      <c r="K582" s="1393"/>
      <c r="L582" s="1393"/>
      <c r="M582" s="1393"/>
      <c r="N582" s="1393"/>
      <c r="O582" s="1393"/>
      <c r="P582" s="1393"/>
      <c r="Q582" s="1393"/>
      <c r="R582" s="1393"/>
      <c r="T582" s="22"/>
      <c r="U582" t="s">
        <v>18</v>
      </c>
      <c r="AA582" s="1393" t="s">
        <v>2704</v>
      </c>
      <c r="AB582" s="1393"/>
      <c r="AC582" s="1393"/>
      <c r="AD582" s="1393"/>
      <c r="AE582" s="1393"/>
      <c r="AF582" s="1393"/>
      <c r="AG582" s="1393"/>
      <c r="AH582" s="1393"/>
      <c r="AI582" s="1393"/>
      <c r="AJ582" s="1393"/>
      <c r="AK582" s="1393"/>
      <c r="BB582" s="3"/>
      <c r="BC582" s="3"/>
    </row>
    <row r="583" spans="1:55" ht="12.95" customHeight="1">
      <c r="A583" s="22"/>
      <c r="B583" t="s">
        <v>20</v>
      </c>
      <c r="N583" s="1379" t="s">
        <v>545</v>
      </c>
      <c r="O583" s="1379"/>
      <c r="T583" s="22"/>
      <c r="U583" t="s">
        <v>20</v>
      </c>
      <c r="AG583" s="1379" t="s">
        <v>545</v>
      </c>
      <c r="AH583" s="1379"/>
      <c r="BB583" s="3"/>
      <c r="BC583" s="3"/>
    </row>
    <row r="584" spans="1:55" ht="12.95" customHeight="1">
      <c r="A584" s="22"/>
      <c r="T584" s="22"/>
      <c r="BB584" s="3"/>
      <c r="BC584" s="3"/>
    </row>
    <row r="585" spans="1:55" ht="12.95" customHeight="1">
      <c r="A585" s="55" t="s">
        <v>763</v>
      </c>
      <c r="B585" t="s">
        <v>463</v>
      </c>
      <c r="G585" s="1389" t="str">
        <f>C558</f>
        <v>Deferred Developer Fee</v>
      </c>
      <c r="H585" s="1389"/>
      <c r="I585" s="1389"/>
      <c r="J585" s="1389"/>
      <c r="K585" s="1389"/>
      <c r="L585" s="1389"/>
      <c r="M585" s="1389"/>
      <c r="N585" s="1389"/>
      <c r="O585" s="1389"/>
      <c r="P585" s="1389"/>
      <c r="Q585" s="1389"/>
      <c r="R585" s="1389"/>
      <c r="T585" s="55" t="s">
        <v>584</v>
      </c>
      <c r="U585" t="s">
        <v>463</v>
      </c>
      <c r="Z585" s="1389" t="str">
        <f>C559</f>
        <v>Lease Up Income</v>
      </c>
      <c r="AA585" s="1389"/>
      <c r="AB585" s="1389"/>
      <c r="AC585" s="1389"/>
      <c r="AD585" s="1389"/>
      <c r="AE585" s="1389"/>
      <c r="AF585" s="1389"/>
      <c r="AG585" s="1389"/>
      <c r="AH585" s="1389"/>
      <c r="AI585" s="1389"/>
      <c r="AJ585" s="1389"/>
      <c r="AK585" s="1389"/>
      <c r="BB585" s="3"/>
      <c r="BC585" s="3"/>
    </row>
    <row r="586" spans="1:55" ht="12.95" customHeight="1">
      <c r="A586" s="22"/>
      <c r="B586" t="s">
        <v>85</v>
      </c>
      <c r="G586" s="1393" t="s">
        <v>2626</v>
      </c>
      <c r="H586" s="1393"/>
      <c r="I586" s="1393"/>
      <c r="J586" s="1393"/>
      <c r="K586" s="1393"/>
      <c r="L586" s="1393"/>
      <c r="M586" s="1393"/>
      <c r="N586" s="1393"/>
      <c r="O586" s="1393"/>
      <c r="P586" s="1393"/>
      <c r="Q586" s="1393"/>
      <c r="R586" s="1393"/>
      <c r="T586" s="22"/>
      <c r="U586" t="s">
        <v>85</v>
      </c>
      <c r="Z586" s="1393" t="s">
        <v>2626</v>
      </c>
      <c r="AA586" s="1393"/>
      <c r="AB586" s="1393"/>
      <c r="AC586" s="1393"/>
      <c r="AD586" s="1393"/>
      <c r="AE586" s="1393"/>
      <c r="AF586" s="1393"/>
      <c r="AG586" s="1393"/>
      <c r="AH586" s="1393"/>
      <c r="AI586" s="1393"/>
      <c r="AJ586" s="1393"/>
      <c r="AK586" s="1393"/>
      <c r="BB586" s="3"/>
      <c r="BC586" s="3"/>
    </row>
    <row r="587" spans="1:55" ht="12.95" customHeight="1">
      <c r="A587" s="22"/>
      <c r="B587" t="s">
        <v>580</v>
      </c>
      <c r="G587" s="1393" t="s">
        <v>2705</v>
      </c>
      <c r="H587" s="1393"/>
      <c r="I587" s="1393"/>
      <c r="J587" s="1393"/>
      <c r="K587" s="1393"/>
      <c r="L587" s="1393"/>
      <c r="M587" s="1393"/>
      <c r="N587" s="1393"/>
      <c r="O587" s="1393"/>
      <c r="P587" s="1393"/>
      <c r="Q587" s="1393"/>
      <c r="R587" s="1393"/>
      <c r="T587" s="22"/>
      <c r="U587" t="s">
        <v>580</v>
      </c>
      <c r="Z587" s="1397" t="s">
        <v>2705</v>
      </c>
      <c r="AA587" s="1397"/>
      <c r="AB587" s="1397"/>
      <c r="AC587" s="1397"/>
      <c r="AD587" s="1397"/>
      <c r="AE587" s="1397"/>
      <c r="AF587" s="1397"/>
      <c r="AG587" s="1397"/>
      <c r="AH587" s="1397"/>
      <c r="AI587" s="1397"/>
      <c r="AJ587" s="1397"/>
      <c r="AK587" s="1397"/>
      <c r="BB587" s="3"/>
      <c r="BC587" s="3"/>
    </row>
    <row r="588" spans="1:55" ht="12.95" customHeight="1">
      <c r="A588" s="22"/>
      <c r="B588" t="s">
        <v>17</v>
      </c>
      <c r="G588" s="1393" t="s">
        <v>2612</v>
      </c>
      <c r="H588" s="1393"/>
      <c r="I588" s="1393"/>
      <c r="J588" s="1393"/>
      <c r="K588" s="1393"/>
      <c r="L588" s="1393"/>
      <c r="M588" s="1393"/>
      <c r="N588" s="1393"/>
      <c r="O588" s="1393"/>
      <c r="P588" s="1393"/>
      <c r="Q588" s="1393"/>
      <c r="R588" s="1393"/>
      <c r="T588" s="22"/>
      <c r="U588" t="s">
        <v>17</v>
      </c>
      <c r="Z588" s="1397" t="s">
        <v>2612</v>
      </c>
      <c r="AA588" s="1397"/>
      <c r="AB588" s="1397"/>
      <c r="AC588" s="1397"/>
      <c r="AD588" s="1397"/>
      <c r="AE588" s="1397"/>
      <c r="AF588" s="1397"/>
      <c r="AG588" s="1397"/>
      <c r="AH588" s="1397"/>
      <c r="AI588" s="1397"/>
      <c r="AJ588" s="1397"/>
      <c r="AK588" s="1397"/>
    </row>
    <row r="589" spans="1:55" ht="12.95" customHeight="1">
      <c r="A589" s="22"/>
      <c r="B589" t="s">
        <v>315</v>
      </c>
      <c r="G589" s="1505" t="s">
        <v>2647</v>
      </c>
      <c r="H589" s="1505"/>
      <c r="I589" s="1505"/>
      <c r="J589" s="1505"/>
      <c r="K589" s="1505"/>
      <c r="L589" s="1505"/>
      <c r="O589" s="33" t="s">
        <v>205</v>
      </c>
      <c r="P589" s="1483"/>
      <c r="Q589" s="1483"/>
      <c r="R589" s="1483"/>
      <c r="T589" s="22"/>
      <c r="U589" t="s">
        <v>315</v>
      </c>
      <c r="Z589" s="1505" t="s">
        <v>2647</v>
      </c>
      <c r="AA589" s="1505"/>
      <c r="AB589" s="1505"/>
      <c r="AC589" s="1505"/>
      <c r="AD589" s="1505"/>
      <c r="AE589" s="1505"/>
      <c r="AH589" s="33" t="s">
        <v>205</v>
      </c>
      <c r="AI589" s="1483"/>
      <c r="AJ589" s="1483"/>
      <c r="AK589" s="1483"/>
      <c r="AZ589" s="3"/>
      <c r="BA589" s="3"/>
      <c r="BB589" s="3"/>
      <c r="BC589" s="3"/>
    </row>
    <row r="590" spans="1:55" ht="12.95" customHeight="1">
      <c r="A590" s="22"/>
      <c r="B590" t="s">
        <v>18</v>
      </c>
      <c r="H590" s="1393" t="s">
        <v>2320</v>
      </c>
      <c r="I590" s="1393"/>
      <c r="J590" s="1393"/>
      <c r="K590" s="1393"/>
      <c r="L590" s="1393"/>
      <c r="M590" s="1393"/>
      <c r="N590" s="1393"/>
      <c r="O590" s="1393"/>
      <c r="P590" s="1393"/>
      <c r="Q590" s="1393"/>
      <c r="R590" s="1393"/>
      <c r="T590" s="22"/>
      <c r="U590" t="s">
        <v>18</v>
      </c>
      <c r="AA590" s="1393" t="s">
        <v>2706</v>
      </c>
      <c r="AB590" s="1393"/>
      <c r="AC590" s="1393"/>
      <c r="AD590" s="1393"/>
      <c r="AE590" s="1393"/>
      <c r="AF590" s="1393"/>
      <c r="AG590" s="1393"/>
      <c r="AH590" s="1393"/>
      <c r="AI590" s="1393"/>
      <c r="AJ590" s="1393"/>
      <c r="AK590" s="1393"/>
      <c r="AZ590" s="3"/>
      <c r="BA590" s="3"/>
      <c r="BB590" s="3"/>
      <c r="BC590" s="3"/>
    </row>
    <row r="591" spans="1:55" ht="12.95" customHeight="1">
      <c r="A591" s="22"/>
      <c r="B591" t="s">
        <v>20</v>
      </c>
      <c r="N591" s="1379" t="s">
        <v>545</v>
      </c>
      <c r="O591" s="1379"/>
      <c r="T591" s="22"/>
      <c r="U591" t="s">
        <v>20</v>
      </c>
      <c r="AG591" s="1379" t="s">
        <v>545</v>
      </c>
      <c r="AH591" s="1379"/>
      <c r="AZ591" s="3"/>
      <c r="BA591" s="3"/>
      <c r="BB591" s="3"/>
      <c r="BC591" s="3"/>
    </row>
    <row r="592" spans="1:55" ht="12.95" customHeight="1">
      <c r="A592" s="22"/>
      <c r="T592" s="22"/>
      <c r="AZ592" s="3"/>
      <c r="BA592" s="3"/>
      <c r="BB592" s="3"/>
      <c r="BC592" s="3"/>
    </row>
    <row r="593" spans="1:55" ht="12.95" customHeight="1">
      <c r="A593" s="55" t="s">
        <v>455</v>
      </c>
      <c r="B593" t="s">
        <v>463</v>
      </c>
      <c r="G593" s="1389" t="str">
        <f>C560</f>
        <v>Costs Deferred to Conversion</v>
      </c>
      <c r="H593" s="1389"/>
      <c r="I593" s="1389"/>
      <c r="J593" s="1389"/>
      <c r="K593" s="1389"/>
      <c r="L593" s="1389"/>
      <c r="M593" s="1389"/>
      <c r="N593" s="1389"/>
      <c r="O593" s="1389"/>
      <c r="P593" s="1389"/>
      <c r="Q593" s="1389"/>
      <c r="R593" s="1389"/>
      <c r="T593" s="55" t="s">
        <v>456</v>
      </c>
      <c r="U593" t="s">
        <v>463</v>
      </c>
      <c r="Z593" s="1389">
        <f>C561</f>
        <v>0</v>
      </c>
      <c r="AA593" s="1389"/>
      <c r="AB593" s="1389"/>
      <c r="AC593" s="1389"/>
      <c r="AD593" s="1389"/>
      <c r="AE593" s="1389"/>
      <c r="AF593" s="1389"/>
      <c r="AG593" s="1389"/>
      <c r="AH593" s="1389"/>
      <c r="AI593" s="1389"/>
      <c r="AJ593" s="1389"/>
      <c r="AK593" s="1389"/>
      <c r="AZ593" s="3"/>
      <c r="BA593" s="3"/>
      <c r="BB593" s="3"/>
      <c r="BC593" s="3"/>
    </row>
    <row r="594" spans="1:55" s="4" customFormat="1" ht="12.95" customHeight="1">
      <c r="A594" s="22"/>
      <c r="B594" t="s">
        <v>85</v>
      </c>
      <c r="C594"/>
      <c r="D594"/>
      <c r="E594"/>
      <c r="F594"/>
      <c r="G594" s="1393" t="s">
        <v>2626</v>
      </c>
      <c r="H594" s="1393"/>
      <c r="I594" s="1393"/>
      <c r="J594" s="1393"/>
      <c r="K594" s="1393"/>
      <c r="L594" s="1393"/>
      <c r="M594" s="1393"/>
      <c r="N594" s="1393"/>
      <c r="O594" s="1393"/>
      <c r="P594" s="1393"/>
      <c r="Q594" s="1393"/>
      <c r="R594" s="1393"/>
      <c r="S594"/>
      <c r="T594" s="22"/>
      <c r="U594" t="s">
        <v>85</v>
      </c>
      <c r="V594"/>
      <c r="W594"/>
      <c r="X594"/>
      <c r="Y594"/>
      <c r="Z594" s="1393"/>
      <c r="AA594" s="1393"/>
      <c r="AB594" s="1393"/>
      <c r="AC594" s="1393"/>
      <c r="AD594" s="1393"/>
      <c r="AE594" s="1393"/>
      <c r="AF594" s="1393"/>
      <c r="AG594" s="1393"/>
      <c r="AH594" s="1393"/>
      <c r="AI594" s="1393"/>
      <c r="AJ594" s="1393"/>
      <c r="AK594" s="1393"/>
      <c r="AL594"/>
      <c r="AM594"/>
      <c r="AN594"/>
      <c r="AO594"/>
      <c r="AP594"/>
      <c r="AQ594"/>
      <c r="AR594"/>
      <c r="AS594"/>
      <c r="AT594"/>
      <c r="AU594"/>
      <c r="AV594"/>
      <c r="AW594"/>
      <c r="AX594"/>
      <c r="AY594"/>
      <c r="AZ594" s="3"/>
      <c r="BA594" s="3"/>
      <c r="BB594" s="3"/>
      <c r="BC594" s="3"/>
    </row>
    <row r="595" spans="1:55" s="4" customFormat="1" ht="12.95" customHeight="1">
      <c r="A595" s="22"/>
      <c r="B595" t="s">
        <v>580</v>
      </c>
      <c r="C595"/>
      <c r="D595"/>
      <c r="E595"/>
      <c r="F595"/>
      <c r="G595" s="1393" t="s">
        <v>2705</v>
      </c>
      <c r="H595" s="1393"/>
      <c r="I595" s="1393"/>
      <c r="J595" s="1393"/>
      <c r="K595" s="1393"/>
      <c r="L595" s="1393"/>
      <c r="M595" s="1393"/>
      <c r="N595" s="1393"/>
      <c r="O595" s="1393"/>
      <c r="P595" s="1393"/>
      <c r="Q595" s="1393"/>
      <c r="R595" s="1393"/>
      <c r="S595"/>
      <c r="T595" s="22"/>
      <c r="U595" t="s">
        <v>580</v>
      </c>
      <c r="V595"/>
      <c r="W595"/>
      <c r="X595"/>
      <c r="Y595"/>
      <c r="Z595" s="1397"/>
      <c r="AA595" s="1397"/>
      <c r="AB595" s="1397"/>
      <c r="AC595" s="1397"/>
      <c r="AD595" s="1397"/>
      <c r="AE595" s="1397"/>
      <c r="AF595" s="1397"/>
      <c r="AG595" s="1397"/>
      <c r="AH595" s="1397"/>
      <c r="AI595" s="1397"/>
      <c r="AJ595" s="1397"/>
      <c r="AK595" s="1397"/>
      <c r="AL595"/>
      <c r="AM595"/>
      <c r="AN595"/>
      <c r="AO595"/>
      <c r="AP595"/>
      <c r="AQ595"/>
      <c r="AR595"/>
      <c r="AS595"/>
      <c r="AT595"/>
      <c r="AU595"/>
      <c r="AV595"/>
      <c r="AW595"/>
      <c r="AX595"/>
      <c r="AY595"/>
      <c r="AZ595" s="3"/>
      <c r="BA595" s="3"/>
      <c r="BB595" s="3"/>
      <c r="BC595" s="3"/>
    </row>
    <row r="596" spans="1:55" s="4" customFormat="1" ht="12.95" customHeight="1">
      <c r="A596" s="22"/>
      <c r="B596" t="s">
        <v>17</v>
      </c>
      <c r="C596"/>
      <c r="D596"/>
      <c r="E596"/>
      <c r="F596"/>
      <c r="G596" s="1393" t="s">
        <v>2612</v>
      </c>
      <c r="H596" s="1393"/>
      <c r="I596" s="1393"/>
      <c r="J596" s="1393"/>
      <c r="K596" s="1393"/>
      <c r="L596" s="1393"/>
      <c r="M596" s="1393"/>
      <c r="N596" s="1393"/>
      <c r="O596" s="1393"/>
      <c r="P596" s="1393"/>
      <c r="Q596" s="1393"/>
      <c r="R596" s="1393"/>
      <c r="S596"/>
      <c r="T596" s="22"/>
      <c r="U596" t="s">
        <v>17</v>
      </c>
      <c r="V596"/>
      <c r="W596"/>
      <c r="X596"/>
      <c r="Y596"/>
      <c r="Z596" s="1397"/>
      <c r="AA596" s="1397"/>
      <c r="AB596" s="1397"/>
      <c r="AC596" s="1397"/>
      <c r="AD596" s="1397"/>
      <c r="AE596" s="1397"/>
      <c r="AF596" s="1397"/>
      <c r="AG596" s="1397"/>
      <c r="AH596" s="1397"/>
      <c r="AI596" s="1397"/>
      <c r="AJ596" s="1397"/>
      <c r="AK596" s="1397"/>
      <c r="AL596"/>
      <c r="AM596"/>
      <c r="AN596"/>
      <c r="AO596"/>
      <c r="AP596"/>
      <c r="AQ596"/>
      <c r="AR596"/>
      <c r="AS596"/>
      <c r="AT596"/>
      <c r="AU596"/>
      <c r="AV596"/>
      <c r="AW596"/>
      <c r="AX596"/>
      <c r="AY596"/>
      <c r="BB596" s="3"/>
      <c r="BC596" s="3"/>
    </row>
    <row r="597" spans="1:55" s="4" customFormat="1" ht="12.95" customHeight="1">
      <c r="A597" s="22"/>
      <c r="B597" t="s">
        <v>315</v>
      </c>
      <c r="C597"/>
      <c r="D597"/>
      <c r="E597"/>
      <c r="F597"/>
      <c r="G597" s="1505" t="s">
        <v>2647</v>
      </c>
      <c r="H597" s="1505"/>
      <c r="I597" s="1505"/>
      <c r="J597" s="1505"/>
      <c r="K597" s="1505"/>
      <c r="L597" s="1505"/>
      <c r="M597"/>
      <c r="N597"/>
      <c r="O597" s="33" t="s">
        <v>205</v>
      </c>
      <c r="P597" s="1483"/>
      <c r="Q597" s="1483"/>
      <c r="R597" s="1483"/>
      <c r="S597"/>
      <c r="T597" s="22"/>
      <c r="U597" t="s">
        <v>315</v>
      </c>
      <c r="V597"/>
      <c r="W597"/>
      <c r="X597"/>
      <c r="Y597"/>
      <c r="Z597" s="1505"/>
      <c r="AA597" s="1505"/>
      <c r="AB597" s="1505"/>
      <c r="AC597" s="1505"/>
      <c r="AD597" s="1505"/>
      <c r="AE597" s="1505"/>
      <c r="AF597"/>
      <c r="AG597"/>
      <c r="AH597" s="33" t="s">
        <v>205</v>
      </c>
      <c r="AI597" s="1483"/>
      <c r="AJ597" s="1483"/>
      <c r="AK597" s="1483"/>
      <c r="AL597"/>
      <c r="AM597"/>
      <c r="AN597"/>
      <c r="AO597"/>
      <c r="AP597"/>
      <c r="AQ597"/>
      <c r="AR597"/>
      <c r="AS597"/>
      <c r="AT597"/>
      <c r="AU597"/>
      <c r="AV597"/>
      <c r="AW597"/>
      <c r="AX597"/>
      <c r="AY597"/>
      <c r="BB597" s="3"/>
      <c r="BC597" s="3"/>
    </row>
    <row r="598" spans="1:55" s="4" customFormat="1" ht="12.95" customHeight="1">
      <c r="A598" s="22"/>
      <c r="B598" t="s">
        <v>18</v>
      </c>
      <c r="C598"/>
      <c r="D598"/>
      <c r="E598"/>
      <c r="F598"/>
      <c r="G598"/>
      <c r="H598" s="1393" t="s">
        <v>2707</v>
      </c>
      <c r="I598" s="1393"/>
      <c r="J598" s="1393"/>
      <c r="K598" s="1393"/>
      <c r="L598" s="1393"/>
      <c r="M598" s="1393"/>
      <c r="N598" s="1393"/>
      <c r="O598" s="1393"/>
      <c r="P598" s="1393"/>
      <c r="Q598" s="1393"/>
      <c r="R598" s="1393"/>
      <c r="S598"/>
      <c r="T598" s="22"/>
      <c r="U598" t="s">
        <v>18</v>
      </c>
      <c r="V598"/>
      <c r="W598"/>
      <c r="X598"/>
      <c r="Y598"/>
      <c r="Z598"/>
      <c r="AA598" s="1462"/>
      <c r="AB598" s="1393"/>
      <c r="AC598" s="1393"/>
      <c r="AD598" s="1393"/>
      <c r="AE598" s="1393"/>
      <c r="AF598" s="1393"/>
      <c r="AG598" s="1393"/>
      <c r="AH598" s="1393"/>
      <c r="AI598" s="1393"/>
      <c r="AJ598" s="1393"/>
      <c r="AK598" s="1393"/>
      <c r="AL598"/>
      <c r="AM598"/>
      <c r="AN598"/>
      <c r="AO598"/>
      <c r="AP598"/>
      <c r="AQ598"/>
      <c r="AR598"/>
      <c r="AS598"/>
      <c r="AT598"/>
      <c r="AU598"/>
      <c r="AV598"/>
      <c r="AW598"/>
      <c r="AX598"/>
      <c r="AY598"/>
      <c r="BB598" s="3"/>
      <c r="BC598" s="3"/>
    </row>
    <row r="599" spans="1:55" ht="12.95" customHeight="1">
      <c r="A599" s="22"/>
      <c r="B599" t="s">
        <v>20</v>
      </c>
      <c r="N599" s="1379" t="s">
        <v>545</v>
      </c>
      <c r="O599" s="1379"/>
      <c r="T599" s="22"/>
      <c r="U599" t="s">
        <v>20</v>
      </c>
      <c r="AG599" s="1379"/>
      <c r="AH599" s="1379"/>
      <c r="BB599" s="3"/>
      <c r="BC599" s="3"/>
    </row>
    <row r="600" spans="1:55" ht="12.95" customHeight="1">
      <c r="A600" s="22"/>
      <c r="T600" s="22"/>
      <c r="BB600" s="3"/>
      <c r="BC600" s="3"/>
    </row>
    <row r="601" spans="1:55" ht="12.95" customHeight="1">
      <c r="A601" s="55" t="s">
        <v>461</v>
      </c>
      <c r="B601" t="s">
        <v>463</v>
      </c>
      <c r="G601" s="1389">
        <f>C562</f>
        <v>0</v>
      </c>
      <c r="H601" s="1389"/>
      <c r="I601" s="1389"/>
      <c r="J601" s="1389"/>
      <c r="K601" s="1389"/>
      <c r="L601" s="1389"/>
      <c r="M601" s="1389"/>
      <c r="N601" s="1389"/>
      <c r="O601" s="1389"/>
      <c r="P601" s="1389"/>
      <c r="Q601" s="1389"/>
      <c r="R601" s="1389"/>
      <c r="T601" s="55" t="s">
        <v>646</v>
      </c>
      <c r="U601" t="s">
        <v>463</v>
      </c>
      <c r="Z601" s="1389">
        <f>C563</f>
        <v>0</v>
      </c>
      <c r="AA601" s="1389"/>
      <c r="AB601" s="1389"/>
      <c r="AC601" s="1389"/>
      <c r="AD601" s="1389"/>
      <c r="AE601" s="1389"/>
      <c r="AF601" s="1389"/>
      <c r="AG601" s="1389"/>
      <c r="AH601" s="1389"/>
      <c r="AI601" s="1389"/>
      <c r="AJ601" s="1389"/>
      <c r="AK601" s="1389"/>
      <c r="BB601" s="3"/>
      <c r="BC601" s="3"/>
    </row>
    <row r="602" spans="1:55" ht="12.95" customHeight="1">
      <c r="A602" s="22"/>
      <c r="B602" t="s">
        <v>85</v>
      </c>
      <c r="G602" s="1393"/>
      <c r="H602" s="1393"/>
      <c r="I602" s="1393"/>
      <c r="J602" s="1393"/>
      <c r="K602" s="1393"/>
      <c r="L602" s="1393"/>
      <c r="M602" s="1393"/>
      <c r="N602" s="1393"/>
      <c r="O602" s="1393"/>
      <c r="P602" s="1393"/>
      <c r="Q602" s="1393"/>
      <c r="R602" s="1393"/>
      <c r="T602" s="22"/>
      <c r="U602" t="s">
        <v>85</v>
      </c>
      <c r="Z602" s="1393"/>
      <c r="AA602" s="1393"/>
      <c r="AB602" s="1393"/>
      <c r="AC602" s="1393"/>
      <c r="AD602" s="1393"/>
      <c r="AE602" s="1393"/>
      <c r="AF602" s="1393"/>
      <c r="AG602" s="1393"/>
      <c r="AH602" s="1393"/>
      <c r="AI602" s="1393"/>
      <c r="AJ602" s="1393"/>
      <c r="AK602" s="1393"/>
      <c r="AZ602" s="3"/>
      <c r="BA602" s="3"/>
      <c r="BB602" s="3"/>
      <c r="BC602" s="3"/>
    </row>
    <row r="603" spans="1:55" ht="12.95" customHeight="1">
      <c r="A603" s="22"/>
      <c r="B603" t="s">
        <v>580</v>
      </c>
      <c r="G603" s="1393"/>
      <c r="H603" s="1393"/>
      <c r="I603" s="1393"/>
      <c r="J603" s="1393"/>
      <c r="K603" s="1393"/>
      <c r="L603" s="1393"/>
      <c r="M603" s="1393"/>
      <c r="N603" s="1393"/>
      <c r="O603" s="1393"/>
      <c r="P603" s="1393"/>
      <c r="Q603" s="1393"/>
      <c r="R603" s="1393"/>
      <c r="T603" s="22"/>
      <c r="U603" t="s">
        <v>580</v>
      </c>
      <c r="Z603" s="1397"/>
      <c r="AA603" s="1397"/>
      <c r="AB603" s="1397"/>
      <c r="AC603" s="1397"/>
      <c r="AD603" s="1397"/>
      <c r="AE603" s="1397"/>
      <c r="AF603" s="1397"/>
      <c r="AG603" s="1397"/>
      <c r="AH603" s="1397"/>
      <c r="AI603" s="1397"/>
      <c r="AJ603" s="1397"/>
      <c r="AK603" s="1397"/>
      <c r="AZ603" s="3"/>
      <c r="BA603" s="3"/>
      <c r="BB603" s="3"/>
      <c r="BC603" s="3"/>
    </row>
    <row r="604" spans="1:55" ht="12.95" customHeight="1">
      <c r="A604" s="22"/>
      <c r="B604" t="s">
        <v>17</v>
      </c>
      <c r="G604" s="1393"/>
      <c r="H604" s="1393"/>
      <c r="I604" s="1393"/>
      <c r="J604" s="1393"/>
      <c r="K604" s="1393"/>
      <c r="L604" s="1393"/>
      <c r="M604" s="1393"/>
      <c r="N604" s="1393"/>
      <c r="O604" s="1393"/>
      <c r="P604" s="1393"/>
      <c r="Q604" s="1393"/>
      <c r="R604" s="1393"/>
      <c r="T604" s="22"/>
      <c r="U604" t="s">
        <v>17</v>
      </c>
      <c r="Z604" s="1397"/>
      <c r="AA604" s="1397"/>
      <c r="AB604" s="1397"/>
      <c r="AC604" s="1397"/>
      <c r="AD604" s="1397"/>
      <c r="AE604" s="1397"/>
      <c r="AF604" s="1397"/>
      <c r="AG604" s="1397"/>
      <c r="AH604" s="1397"/>
      <c r="AI604" s="1397"/>
      <c r="AJ604" s="1397"/>
      <c r="AK604" s="1397"/>
      <c r="AZ604" s="3"/>
      <c r="BA604" s="3"/>
      <c r="BB604" s="3"/>
      <c r="BC604" s="3"/>
    </row>
    <row r="605" spans="1:55" s="4" customFormat="1" ht="12.95" customHeight="1">
      <c r="A605" s="22"/>
      <c r="B605" t="s">
        <v>315</v>
      </c>
      <c r="C605"/>
      <c r="D605"/>
      <c r="E605"/>
      <c r="F605"/>
      <c r="G605" s="1505"/>
      <c r="H605" s="1505"/>
      <c r="I605" s="1505"/>
      <c r="J605" s="1505"/>
      <c r="K605" s="1505"/>
      <c r="L605" s="1505"/>
      <c r="M605"/>
      <c r="N605"/>
      <c r="O605" s="33" t="s">
        <v>205</v>
      </c>
      <c r="P605" s="1483"/>
      <c r="Q605" s="1483"/>
      <c r="R605" s="1483"/>
      <c r="S605"/>
      <c r="T605" s="22"/>
      <c r="U605" t="s">
        <v>315</v>
      </c>
      <c r="V605"/>
      <c r="W605"/>
      <c r="X605"/>
      <c r="Y605"/>
      <c r="Z605" s="1505"/>
      <c r="AA605" s="1505"/>
      <c r="AB605" s="1505"/>
      <c r="AC605" s="1505"/>
      <c r="AD605" s="1505"/>
      <c r="AE605" s="1505"/>
      <c r="AF605"/>
      <c r="AG605"/>
      <c r="AH605" s="33" t="s">
        <v>205</v>
      </c>
      <c r="AI605" s="1483"/>
      <c r="AJ605" s="1483"/>
      <c r="AK605" s="1483"/>
      <c r="AL605"/>
      <c r="AM605"/>
      <c r="AN605"/>
      <c r="AO605"/>
      <c r="AP605"/>
      <c r="AQ605"/>
      <c r="AR605"/>
      <c r="AS605"/>
      <c r="AT605"/>
      <c r="AU605"/>
      <c r="AV605"/>
      <c r="AW605"/>
      <c r="AX605"/>
      <c r="AY605"/>
      <c r="AZ605" s="3"/>
      <c r="BA605" s="3"/>
      <c r="BB605" s="3"/>
      <c r="BC605" s="3"/>
    </row>
    <row r="606" spans="1:55" s="4" customFormat="1" ht="12.95" customHeight="1">
      <c r="A606" s="22"/>
      <c r="B606" t="s">
        <v>18</v>
      </c>
      <c r="C606"/>
      <c r="D606"/>
      <c r="E606"/>
      <c r="F606"/>
      <c r="G606"/>
      <c r="H606" s="1393"/>
      <c r="I606" s="1393"/>
      <c r="J606" s="1393"/>
      <c r="K606" s="1393"/>
      <c r="L606" s="1393"/>
      <c r="M606" s="1393"/>
      <c r="N606" s="1393"/>
      <c r="O606" s="1393"/>
      <c r="P606" s="1393"/>
      <c r="Q606" s="1393"/>
      <c r="R606" s="1393"/>
      <c r="S606"/>
      <c r="T606" s="22"/>
      <c r="U606" t="s">
        <v>18</v>
      </c>
      <c r="V606"/>
      <c r="W606"/>
      <c r="X606"/>
      <c r="Y606"/>
      <c r="Z606"/>
      <c r="AA606" s="1393"/>
      <c r="AB606" s="1393"/>
      <c r="AC606" s="1393"/>
      <c r="AD606" s="1393"/>
      <c r="AE606" s="1393"/>
      <c r="AF606" s="1393"/>
      <c r="AG606" s="1393"/>
      <c r="AH606" s="1393"/>
      <c r="AI606" s="1393"/>
      <c r="AJ606" s="1393"/>
      <c r="AK606" s="1393"/>
      <c r="AL606"/>
      <c r="AM606"/>
      <c r="AN606"/>
      <c r="AO606"/>
      <c r="AP606"/>
      <c r="AQ606"/>
      <c r="AR606"/>
      <c r="AS606"/>
      <c r="AT606"/>
      <c r="AU606"/>
      <c r="AV606"/>
      <c r="AW606"/>
      <c r="AX606"/>
      <c r="AY606"/>
      <c r="AZ606" s="3"/>
      <c r="BA606" s="3"/>
      <c r="BB606" s="3"/>
      <c r="BC606" s="3"/>
    </row>
    <row r="607" spans="1:55" s="4" customFormat="1" ht="12.95" customHeight="1">
      <c r="A607" s="22"/>
      <c r="B607" t="s">
        <v>20</v>
      </c>
      <c r="C607"/>
      <c r="D607"/>
      <c r="E607"/>
      <c r="F607"/>
      <c r="G607"/>
      <c r="H607"/>
      <c r="I607"/>
      <c r="J607"/>
      <c r="K607"/>
      <c r="L607"/>
      <c r="M607"/>
      <c r="N607" s="1379" t="s">
        <v>669</v>
      </c>
      <c r="O607" s="1379"/>
      <c r="P607"/>
      <c r="Q607"/>
      <c r="R607"/>
      <c r="S607"/>
      <c r="T607" s="22"/>
      <c r="U607" t="s">
        <v>20</v>
      </c>
      <c r="V607"/>
      <c r="W607"/>
      <c r="X607"/>
      <c r="Y607"/>
      <c r="Z607"/>
      <c r="AA607"/>
      <c r="AB607"/>
      <c r="AC607"/>
      <c r="AD607"/>
      <c r="AE607"/>
      <c r="AF607"/>
      <c r="AG607" s="1379" t="s">
        <v>669</v>
      </c>
      <c r="AH607" s="1379"/>
      <c r="AI607"/>
      <c r="AJ607"/>
      <c r="AK607"/>
      <c r="AL607"/>
      <c r="AM607"/>
      <c r="AN607"/>
      <c r="AO607"/>
      <c r="AP607"/>
      <c r="AQ607"/>
      <c r="AR607"/>
      <c r="AS607"/>
      <c r="AT607"/>
      <c r="AU607"/>
      <c r="AV607"/>
      <c r="AW607"/>
      <c r="AX607"/>
      <c r="AY607"/>
      <c r="AZ607" s="3"/>
      <c r="BA607" s="3"/>
      <c r="BB607" s="3"/>
      <c r="BC607" s="3"/>
    </row>
    <row r="608" spans="1:55" ht="12.95" customHeight="1">
      <c r="A608" s="22"/>
      <c r="T608" s="22"/>
      <c r="AZ608" s="3"/>
      <c r="BA608" s="3"/>
      <c r="BB608" s="3"/>
      <c r="BC608" s="3"/>
    </row>
    <row r="609" spans="1:55" ht="12.95" customHeight="1">
      <c r="A609" s="55" t="s">
        <v>361</v>
      </c>
      <c r="B609" t="s">
        <v>463</v>
      </c>
      <c r="G609" s="1389">
        <f>C564</f>
        <v>0</v>
      </c>
      <c r="H609" s="1389"/>
      <c r="I609" s="1389"/>
      <c r="J609" s="1389"/>
      <c r="K609" s="1389"/>
      <c r="L609" s="1389"/>
      <c r="M609" s="1389"/>
      <c r="N609" s="1389"/>
      <c r="O609" s="1389"/>
      <c r="P609" s="1389"/>
      <c r="Q609" s="1389"/>
      <c r="R609" s="1389"/>
      <c r="T609" s="55" t="s">
        <v>362</v>
      </c>
      <c r="U609" t="s">
        <v>463</v>
      </c>
      <c r="Z609" s="1389">
        <f>C565</f>
        <v>0</v>
      </c>
      <c r="AA609" s="1389"/>
      <c r="AB609" s="1389"/>
      <c r="AC609" s="1389"/>
      <c r="AD609" s="1389"/>
      <c r="AE609" s="1389"/>
      <c r="AF609" s="1389"/>
      <c r="AG609" s="1389"/>
      <c r="AH609" s="1389"/>
      <c r="AI609" s="1389"/>
      <c r="AJ609" s="1389"/>
      <c r="AK609" s="1389"/>
      <c r="AZ609" s="3"/>
      <c r="BA609" s="3"/>
      <c r="BB609" s="3"/>
      <c r="BC609" s="3"/>
    </row>
    <row r="610" spans="1:55" ht="12.95" customHeight="1">
      <c r="B610" t="s">
        <v>85</v>
      </c>
      <c r="G610" s="1393"/>
      <c r="H610" s="1393"/>
      <c r="I610" s="1393"/>
      <c r="J610" s="1393"/>
      <c r="K610" s="1393"/>
      <c r="L610" s="1393"/>
      <c r="M610" s="1393"/>
      <c r="N610" s="1393"/>
      <c r="O610" s="1393"/>
      <c r="P610" s="1393"/>
      <c r="Q610" s="1393"/>
      <c r="R610" s="1393"/>
      <c r="U610" t="s">
        <v>85</v>
      </c>
      <c r="Z610" s="1393"/>
      <c r="AA610" s="1393"/>
      <c r="AB610" s="1393"/>
      <c r="AC610" s="1393"/>
      <c r="AD610" s="1393"/>
      <c r="AE610" s="1393"/>
      <c r="AF610" s="1393"/>
      <c r="AG610" s="1393"/>
      <c r="AH610" s="1393"/>
      <c r="AI610" s="1393"/>
      <c r="AJ610" s="1393"/>
      <c r="AK610" s="1393"/>
      <c r="AZ610" s="3"/>
      <c r="BA610" s="3"/>
      <c r="BB610" s="3"/>
      <c r="BC610" s="3"/>
    </row>
    <row r="611" spans="1:55" ht="12.95" customHeight="1">
      <c r="B611" t="s">
        <v>580</v>
      </c>
      <c r="G611" s="1393"/>
      <c r="H611" s="1393"/>
      <c r="I611" s="1393"/>
      <c r="J611" s="1393"/>
      <c r="K611" s="1393"/>
      <c r="L611" s="1393"/>
      <c r="M611" s="1393"/>
      <c r="N611" s="1393"/>
      <c r="O611" s="1393"/>
      <c r="P611" s="1393"/>
      <c r="Q611" s="1393"/>
      <c r="R611" s="1393"/>
      <c r="U611" t="s">
        <v>580</v>
      </c>
      <c r="Z611" s="1397"/>
      <c r="AA611" s="1397"/>
      <c r="AB611" s="1397"/>
      <c r="AC611" s="1397"/>
      <c r="AD611" s="1397"/>
      <c r="AE611" s="1397"/>
      <c r="AF611" s="1397"/>
      <c r="AG611" s="1397"/>
      <c r="AH611" s="1397"/>
      <c r="AI611" s="1397"/>
      <c r="AJ611" s="1397"/>
      <c r="AK611" s="1397"/>
      <c r="AZ611" s="3"/>
      <c r="BA611" s="3"/>
      <c r="BB611" s="3"/>
      <c r="BC611" s="3"/>
    </row>
    <row r="612" spans="1:55" ht="12.95" customHeight="1">
      <c r="B612" t="s">
        <v>17</v>
      </c>
      <c r="G612" s="1393"/>
      <c r="H612" s="1393"/>
      <c r="I612" s="1393"/>
      <c r="J612" s="1393"/>
      <c r="K612" s="1393"/>
      <c r="L612" s="1393"/>
      <c r="M612" s="1393"/>
      <c r="N612" s="1393"/>
      <c r="O612" s="1393"/>
      <c r="P612" s="1393"/>
      <c r="Q612" s="1393"/>
      <c r="R612" s="1393"/>
      <c r="U612" t="s">
        <v>17</v>
      </c>
      <c r="Z612" s="1397"/>
      <c r="AA612" s="1397"/>
      <c r="AB612" s="1397"/>
      <c r="AC612" s="1397"/>
      <c r="AD612" s="1397"/>
      <c r="AE612" s="1397"/>
      <c r="AF612" s="1397"/>
      <c r="AG612" s="1397"/>
      <c r="AH612" s="1397"/>
      <c r="AI612" s="1397"/>
      <c r="AJ612" s="1397"/>
      <c r="AK612" s="1397"/>
      <c r="AZ612" s="3"/>
      <c r="BA612" s="3"/>
      <c r="BB612" s="3"/>
      <c r="BC612" s="3"/>
    </row>
    <row r="613" spans="1:55" ht="12.95" customHeight="1">
      <c r="B613" t="s">
        <v>315</v>
      </c>
      <c r="G613" s="1505"/>
      <c r="H613" s="1505"/>
      <c r="I613" s="1505"/>
      <c r="J613" s="1505"/>
      <c r="K613" s="1505"/>
      <c r="L613" s="1505"/>
      <c r="O613" s="33" t="s">
        <v>205</v>
      </c>
      <c r="P613" s="1483"/>
      <c r="Q613" s="1483"/>
      <c r="R613" s="1483"/>
      <c r="U613" t="s">
        <v>315</v>
      </c>
      <c r="Z613" s="1505"/>
      <c r="AA613" s="1505"/>
      <c r="AB613" s="1505"/>
      <c r="AC613" s="1505"/>
      <c r="AD613" s="1505"/>
      <c r="AE613" s="1505"/>
      <c r="AH613" s="33" t="s">
        <v>205</v>
      </c>
      <c r="AI613" s="1483"/>
      <c r="AJ613" s="1483"/>
      <c r="AK613" s="1483"/>
      <c r="AZ613" s="3"/>
      <c r="BA613" s="3"/>
      <c r="BB613" s="3"/>
      <c r="BC613" s="3"/>
    </row>
    <row r="614" spans="1:55" ht="12.95" customHeight="1">
      <c r="B614" t="s">
        <v>18</v>
      </c>
      <c r="H614" s="1393"/>
      <c r="I614" s="1393"/>
      <c r="J614" s="1393"/>
      <c r="K614" s="1393"/>
      <c r="L614" s="1393"/>
      <c r="M614" s="1393"/>
      <c r="N614" s="1393"/>
      <c r="O614" s="1393"/>
      <c r="P614" s="1393"/>
      <c r="Q614" s="1393"/>
      <c r="R614" s="1393"/>
      <c r="U614" t="s">
        <v>18</v>
      </c>
      <c r="AA614" s="1393"/>
      <c r="AB614" s="1393"/>
      <c r="AC614" s="1393"/>
      <c r="AD614" s="1393"/>
      <c r="AE614" s="1393"/>
      <c r="AF614" s="1393"/>
      <c r="AG614" s="1393"/>
      <c r="AH614" s="1393"/>
      <c r="AI614" s="1393"/>
      <c r="AJ614" s="1393"/>
      <c r="AK614" s="1393"/>
      <c r="AU614" s="899"/>
      <c r="AV614" s="899"/>
      <c r="AW614" s="899"/>
      <c r="AX614" s="899"/>
      <c r="AY614" s="899"/>
      <c r="AZ614" s="3"/>
      <c r="BA614" s="3"/>
      <c r="BB614" s="3"/>
      <c r="BC614" s="3"/>
    </row>
    <row r="615" spans="1:55" ht="12.95" customHeight="1">
      <c r="B615" t="s">
        <v>20</v>
      </c>
      <c r="N615" s="1379" t="s">
        <v>669</v>
      </c>
      <c r="O615" s="1379"/>
      <c r="U615" t="s">
        <v>20</v>
      </c>
      <c r="AG615" s="1379" t="s">
        <v>669</v>
      </c>
      <c r="AH615" s="1379"/>
      <c r="AU615" s="899"/>
      <c r="AV615" s="899"/>
      <c r="AW615" s="899"/>
      <c r="AX615" s="899"/>
      <c r="AY615" s="899"/>
      <c r="AZ615" s="3"/>
      <c r="BA615" s="3"/>
      <c r="BB615" s="3"/>
      <c r="BC615" s="3"/>
    </row>
    <row r="616" spans="1:55" ht="12.95" customHeight="1">
      <c r="AZ616" s="3"/>
      <c r="BA616" s="3"/>
      <c r="BB616" s="3"/>
      <c r="BC616" s="3"/>
    </row>
    <row r="617" spans="1:55" ht="12.95" customHeight="1">
      <c r="A617" s="1261" t="s">
        <v>544</v>
      </c>
      <c r="B617" s="1261"/>
      <c r="C617" s="1261"/>
      <c r="D617" s="1261"/>
      <c r="E617" s="1261"/>
      <c r="F617" s="1261"/>
      <c r="G617" s="1261"/>
      <c r="H617" s="1261"/>
      <c r="I617" s="1261"/>
      <c r="J617" s="1261"/>
      <c r="K617" s="1261"/>
      <c r="L617" s="1261"/>
      <c r="M617" s="1261"/>
      <c r="N617" s="1261"/>
      <c r="O617" s="1261"/>
      <c r="P617" s="1261"/>
      <c r="Q617" s="1261"/>
      <c r="R617" s="1261"/>
      <c r="S617" s="1261"/>
      <c r="T617" s="1261"/>
      <c r="U617" s="1261"/>
      <c r="V617" s="1261"/>
      <c r="W617" s="1261"/>
      <c r="X617" s="1261"/>
      <c r="Y617" s="1261"/>
      <c r="Z617" s="1261"/>
      <c r="AA617" s="1261"/>
      <c r="AB617" s="1261"/>
      <c r="AC617" s="1261"/>
      <c r="AD617" s="1261"/>
      <c r="AE617" s="1261"/>
      <c r="AF617" s="1261"/>
      <c r="AG617" s="1261"/>
      <c r="AH617" s="1261"/>
      <c r="AI617" s="1261"/>
      <c r="AJ617" s="1261"/>
      <c r="AK617" s="1261"/>
      <c r="AL617" s="1261"/>
      <c r="AM617" s="1261"/>
      <c r="AN617" s="1261"/>
      <c r="AO617" s="1261"/>
      <c r="AP617" s="1261"/>
      <c r="AQ617" s="1261"/>
      <c r="AR617" s="1261"/>
      <c r="AS617" s="1261"/>
      <c r="AT617" s="1261"/>
      <c r="AZ617" s="3"/>
      <c r="BA617" s="3"/>
      <c r="BB617" s="3"/>
      <c r="BC617" s="3"/>
    </row>
    <row r="618" spans="1:55" ht="12.95" customHeight="1">
      <c r="A618" s="1261"/>
      <c r="B618" s="1261"/>
      <c r="C618" s="1261"/>
      <c r="D618" s="1261"/>
      <c r="E618" s="1261"/>
      <c r="F618" s="1261"/>
      <c r="G618" s="1261"/>
      <c r="H618" s="1261"/>
      <c r="I618" s="1261"/>
      <c r="J618" s="1261"/>
      <c r="K618" s="1261"/>
      <c r="L618" s="1261"/>
      <c r="M618" s="1261"/>
      <c r="N618" s="1261"/>
      <c r="O618" s="1261"/>
      <c r="P618" s="1261"/>
      <c r="Q618" s="1261"/>
      <c r="R618" s="1261"/>
      <c r="S618" s="1261"/>
      <c r="T618" s="1261"/>
      <c r="U618" s="1261"/>
      <c r="V618" s="1261"/>
      <c r="W618" s="1261"/>
      <c r="X618" s="1261"/>
      <c r="Y618" s="1261"/>
      <c r="Z618" s="1261"/>
      <c r="AA618" s="1261"/>
      <c r="AB618" s="1261"/>
      <c r="AC618" s="1261"/>
      <c r="AD618" s="1261"/>
      <c r="AE618" s="1261"/>
      <c r="AF618" s="1261"/>
      <c r="AG618" s="1261"/>
      <c r="AH618" s="1261"/>
      <c r="AI618" s="1261"/>
      <c r="AJ618" s="1261"/>
      <c r="AK618" s="1261"/>
      <c r="AL618" s="1261"/>
      <c r="AM618" s="1261"/>
      <c r="AN618" s="1261"/>
      <c r="AO618" s="1261"/>
      <c r="AP618" s="1261"/>
      <c r="AQ618" s="1261"/>
      <c r="AR618" s="1261"/>
      <c r="AS618" s="1261"/>
      <c r="AT618" s="1261"/>
      <c r="AZ618" s="3"/>
      <c r="BA618" s="3"/>
      <c r="BB618" s="3"/>
      <c r="BC618" s="3"/>
    </row>
    <row r="619" spans="1:55" ht="12.95" customHeight="1">
      <c r="AZ619" s="3"/>
      <c r="BA619" s="3"/>
      <c r="BB619" s="3"/>
      <c r="BC619" s="3"/>
    </row>
    <row r="620" spans="1:55" ht="12.95" customHeight="1">
      <c r="A620" s="2" t="s">
        <v>318</v>
      </c>
      <c r="B620" s="2"/>
      <c r="C620" s="2" t="s">
        <v>21</v>
      </c>
      <c r="AZ620" s="3"/>
      <c r="BA620" s="3"/>
      <c r="BB620" s="3"/>
      <c r="BC620" s="3"/>
    </row>
    <row r="621" spans="1:55" ht="12.95" customHeight="1">
      <c r="A621" s="2"/>
      <c r="B621" s="2"/>
      <c r="C621" s="2"/>
      <c r="AZ621" s="3"/>
      <c r="BA621" s="3"/>
      <c r="BB621" s="3"/>
      <c r="BC621" s="3"/>
    </row>
    <row r="622" spans="1:55" ht="12.95" customHeight="1">
      <c r="C622" s="2" t="s">
        <v>2100</v>
      </c>
      <c r="AZ622" s="3"/>
      <c r="BA622" s="3"/>
      <c r="BB622" s="3"/>
      <c r="BC622" s="3"/>
    </row>
    <row r="623" spans="1:55" ht="12.95" customHeight="1">
      <c r="B623" s="512"/>
      <c r="C623" s="2"/>
      <c r="AU623" s="3"/>
      <c r="AZ623" s="3"/>
      <c r="BA623" s="3"/>
      <c r="BB623" s="3"/>
      <c r="BC623" s="3"/>
    </row>
    <row r="624" spans="1:55" ht="12.95" customHeight="1">
      <c r="B624" s="1697" t="s">
        <v>2102</v>
      </c>
      <c r="C624" s="1697"/>
      <c r="D624" s="1697"/>
      <c r="E624" s="1697"/>
      <c r="F624" s="1697"/>
      <c r="G624" s="1697"/>
      <c r="H624" s="1697"/>
      <c r="I624" s="1697"/>
      <c r="J624" s="1697"/>
      <c r="K624" s="1697"/>
      <c r="L624" s="1697"/>
      <c r="M624" s="1488" t="s">
        <v>2103</v>
      </c>
      <c r="N624" s="1488"/>
      <c r="O624" s="1488"/>
      <c r="P624" s="1488"/>
      <c r="Q624" s="1488" t="s">
        <v>1852</v>
      </c>
      <c r="R624" s="1488"/>
      <c r="S624" s="1488"/>
      <c r="T624" s="1488" t="s">
        <v>1850</v>
      </c>
      <c r="U624" s="1488"/>
      <c r="V624" s="1488"/>
      <c r="W624" s="1817" t="s">
        <v>453</v>
      </c>
      <c r="X624" s="1817"/>
      <c r="Y624" s="1817"/>
      <c r="Z624" s="1477" t="s">
        <v>2132</v>
      </c>
      <c r="AA624" s="1477"/>
      <c r="AB624" s="1478"/>
      <c r="AC624" s="1662" t="s">
        <v>1675</v>
      </c>
      <c r="AD624" s="1663"/>
      <c r="AE624" s="1664"/>
      <c r="AF624" s="1671" t="s">
        <v>1930</v>
      </c>
      <c r="AG624" s="1477"/>
      <c r="AH624" s="1477"/>
      <c r="AI624" s="1477"/>
      <c r="AJ624" s="1478"/>
      <c r="AK624" s="1687" t="s">
        <v>1931</v>
      </c>
      <c r="AL624" s="1688"/>
      <c r="AM624" s="1688"/>
      <c r="AN624" s="1689"/>
      <c r="AO624" s="1488" t="s">
        <v>454</v>
      </c>
      <c r="AP624" s="1488"/>
      <c r="AQ624" s="1488"/>
      <c r="AR624" s="1488"/>
      <c r="AS624" s="1488"/>
      <c r="AU624" s="3"/>
      <c r="AZ624" s="3"/>
      <c r="BA624" s="3"/>
      <c r="BB624" s="3"/>
      <c r="BC624" s="3"/>
    </row>
    <row r="625" spans="2:157" ht="12.95" customHeight="1">
      <c r="B625" s="1697"/>
      <c r="C625" s="1697"/>
      <c r="D625" s="1697"/>
      <c r="E625" s="1697"/>
      <c r="F625" s="1697"/>
      <c r="G625" s="1697"/>
      <c r="H625" s="1697"/>
      <c r="I625" s="1697"/>
      <c r="J625" s="1697"/>
      <c r="K625" s="1697"/>
      <c r="L625" s="1697"/>
      <c r="M625" s="1488"/>
      <c r="N625" s="1488"/>
      <c r="O625" s="1488"/>
      <c r="P625" s="1488"/>
      <c r="Q625" s="1488"/>
      <c r="R625" s="1488"/>
      <c r="S625" s="1488"/>
      <c r="T625" s="1488"/>
      <c r="U625" s="1488"/>
      <c r="V625" s="1488"/>
      <c r="W625" s="1817"/>
      <c r="X625" s="1817"/>
      <c r="Y625" s="1817"/>
      <c r="Z625" s="1479"/>
      <c r="AA625" s="1479"/>
      <c r="AB625" s="1480"/>
      <c r="AC625" s="1665"/>
      <c r="AD625" s="1666"/>
      <c r="AE625" s="1667"/>
      <c r="AF625" s="1672"/>
      <c r="AG625" s="1479"/>
      <c r="AH625" s="1479"/>
      <c r="AI625" s="1479"/>
      <c r="AJ625" s="1480"/>
      <c r="AK625" s="1690"/>
      <c r="AL625" s="1691"/>
      <c r="AM625" s="1691"/>
      <c r="AN625" s="1692"/>
      <c r="AO625" s="1488"/>
      <c r="AP625" s="1488"/>
      <c r="AQ625" s="1488"/>
      <c r="AR625" s="1488"/>
      <c r="AS625" s="1488"/>
      <c r="AU625" s="3"/>
      <c r="AZ625" s="3"/>
      <c r="BA625" s="3"/>
      <c r="BB625" s="3"/>
      <c r="BC625" s="3"/>
      <c r="BD625" s="3"/>
    </row>
    <row r="626" spans="2:157" ht="12.95" customHeight="1">
      <c r="B626" s="1697"/>
      <c r="C626" s="1697"/>
      <c r="D626" s="1697"/>
      <c r="E626" s="1697"/>
      <c r="F626" s="1697"/>
      <c r="G626" s="1697"/>
      <c r="H626" s="1697"/>
      <c r="I626" s="1697"/>
      <c r="J626" s="1697"/>
      <c r="K626" s="1697"/>
      <c r="L626" s="1697"/>
      <c r="M626" s="1488"/>
      <c r="N626" s="1488"/>
      <c r="O626" s="1488"/>
      <c r="P626" s="1488"/>
      <c r="Q626" s="1488"/>
      <c r="R626" s="1488"/>
      <c r="S626" s="1488"/>
      <c r="T626" s="1488"/>
      <c r="U626" s="1488"/>
      <c r="V626" s="1488"/>
      <c r="W626" s="1817"/>
      <c r="X626" s="1817"/>
      <c r="Y626" s="1817"/>
      <c r="Z626" s="1481"/>
      <c r="AA626" s="1481"/>
      <c r="AB626" s="1482"/>
      <c r="AC626" s="1668"/>
      <c r="AD626" s="1669"/>
      <c r="AE626" s="1670"/>
      <c r="AF626" s="1673"/>
      <c r="AG626" s="1481"/>
      <c r="AH626" s="1481"/>
      <c r="AI626" s="1481"/>
      <c r="AJ626" s="1482"/>
      <c r="AK626" s="1693"/>
      <c r="AL626" s="1694"/>
      <c r="AM626" s="1694"/>
      <c r="AN626" s="1695"/>
      <c r="AO626" s="1488"/>
      <c r="AP626" s="1488"/>
      <c r="AQ626" s="1488"/>
      <c r="AR626" s="1488"/>
      <c r="AS626" s="1488"/>
      <c r="AT626" s="3"/>
      <c r="AU626" s="3"/>
      <c r="AZ626" s="3"/>
      <c r="BA626" s="3"/>
      <c r="BB626" s="3"/>
      <c r="BC626" s="3"/>
      <c r="BD626" s="3"/>
    </row>
    <row r="627" spans="2:157" ht="12.95" customHeight="1">
      <c r="B627" s="51" t="s">
        <v>112</v>
      </c>
      <c r="C627" s="1698" t="s">
        <v>2708</v>
      </c>
      <c r="D627" s="1698"/>
      <c r="E627" s="1698"/>
      <c r="F627" s="1698"/>
      <c r="G627" s="1698"/>
      <c r="H627" s="1698"/>
      <c r="I627" s="1698"/>
      <c r="J627" s="1698"/>
      <c r="K627" s="1698"/>
      <c r="L627" s="1698"/>
      <c r="M627" s="1495" t="s">
        <v>2119</v>
      </c>
      <c r="N627" s="1495"/>
      <c r="O627" s="1495"/>
      <c r="P627" s="1495"/>
      <c r="Q627" s="1471">
        <f>18*12</f>
        <v>216</v>
      </c>
      <c r="R627" s="1471"/>
      <c r="S627" s="1472"/>
      <c r="T627" s="1470">
        <f>40*12</f>
        <v>480</v>
      </c>
      <c r="U627" s="1471"/>
      <c r="V627" s="1472"/>
      <c r="W627" s="1484">
        <v>6.4000000000000001E-2</v>
      </c>
      <c r="X627" s="1485"/>
      <c r="Y627" s="1486"/>
      <c r="Z627" s="1526" t="s">
        <v>2131</v>
      </c>
      <c r="AA627" s="1527"/>
      <c r="AB627" s="1528"/>
      <c r="AC627" s="1499">
        <v>2</v>
      </c>
      <c r="AD627" s="1500"/>
      <c r="AE627" s="1501"/>
      <c r="AF627" s="1520">
        <v>3046532</v>
      </c>
      <c r="AG627" s="1521"/>
      <c r="AH627" s="1521"/>
      <c r="AI627" s="1521"/>
      <c r="AJ627" s="1522"/>
      <c r="AK627" s="1473">
        <v>0</v>
      </c>
      <c r="AL627" s="1474"/>
      <c r="AM627" s="1474"/>
      <c r="AN627" s="1475"/>
      <c r="AO627" s="1529">
        <v>43682565</v>
      </c>
      <c r="AP627" s="1529"/>
      <c r="AQ627" s="1529"/>
      <c r="AR627" s="1529"/>
      <c r="AS627" s="1529"/>
      <c r="AT627" s="3"/>
      <c r="AU627" s="3"/>
      <c r="AZ627" s="3"/>
      <c r="BA627" s="3"/>
      <c r="BB627" s="3"/>
      <c r="BC627" s="3"/>
      <c r="BD627" s="3"/>
    </row>
    <row r="628" spans="2:157" ht="12.95" customHeight="1">
      <c r="B628" s="52" t="s">
        <v>113</v>
      </c>
      <c r="C628" s="1698" t="s">
        <v>2694</v>
      </c>
      <c r="D628" s="1698"/>
      <c r="E628" s="1698"/>
      <c r="F628" s="1698"/>
      <c r="G628" s="1698"/>
      <c r="H628" s="1698"/>
      <c r="I628" s="1698"/>
      <c r="J628" s="1698"/>
      <c r="K628" s="1698"/>
      <c r="L628" s="1698"/>
      <c r="M628" s="1495" t="s">
        <v>2121</v>
      </c>
      <c r="N628" s="1495"/>
      <c r="O628" s="1495"/>
      <c r="P628" s="1495"/>
      <c r="Q628" s="1470"/>
      <c r="R628" s="1471"/>
      <c r="S628" s="1472"/>
      <c r="T628" s="1470"/>
      <c r="U628" s="1471"/>
      <c r="V628" s="1472"/>
      <c r="W628" s="1484"/>
      <c r="X628" s="1485"/>
      <c r="Y628" s="1486"/>
      <c r="Z628" s="1526" t="s">
        <v>299</v>
      </c>
      <c r="AA628" s="1527"/>
      <c r="AB628" s="1528"/>
      <c r="AC628" s="1499"/>
      <c r="AD628" s="1500"/>
      <c r="AE628" s="1501"/>
      <c r="AF628" s="1520"/>
      <c r="AG628" s="1521"/>
      <c r="AH628" s="1521"/>
      <c r="AI628" s="1521"/>
      <c r="AJ628" s="1522"/>
      <c r="AK628" s="1473"/>
      <c r="AL628" s="1474"/>
      <c r="AM628" s="1474"/>
      <c r="AN628" s="1475"/>
      <c r="AO628" s="1517">
        <v>923367</v>
      </c>
      <c r="AP628" s="1518"/>
      <c r="AQ628" s="1518"/>
      <c r="AR628" s="1518"/>
      <c r="AS628" s="1519"/>
      <c r="AT628" s="1148" t="str">
        <f>IF(AND(NOT(C627=""),C628="",NOT(C629="")),"!","")</f>
        <v/>
      </c>
      <c r="AU628" s="3"/>
      <c r="AZ628" s="3"/>
      <c r="BA628" s="3"/>
      <c r="BB628" s="3"/>
      <c r="BC628" s="3"/>
      <c r="BD628" s="3"/>
    </row>
    <row r="629" spans="2:157" ht="12.95" customHeight="1">
      <c r="B629" s="52" t="s">
        <v>119</v>
      </c>
      <c r="C629" s="1698" t="s">
        <v>2320</v>
      </c>
      <c r="D629" s="1698"/>
      <c r="E629" s="1698"/>
      <c r="F629" s="1698"/>
      <c r="G629" s="1698"/>
      <c r="H629" s="1698"/>
      <c r="I629" s="1698"/>
      <c r="J629" s="1698"/>
      <c r="K629" s="1698"/>
      <c r="L629" s="1698"/>
      <c r="M629" s="1495" t="s">
        <v>2106</v>
      </c>
      <c r="N629" s="1495"/>
      <c r="O629" s="1495"/>
      <c r="P629" s="1495"/>
      <c r="Q629" s="1470"/>
      <c r="R629" s="1471"/>
      <c r="S629" s="1472"/>
      <c r="T629" s="1470"/>
      <c r="U629" s="1471"/>
      <c r="V629" s="1472"/>
      <c r="W629" s="1484"/>
      <c r="X629" s="1485"/>
      <c r="Y629" s="1486"/>
      <c r="Z629" s="1526" t="s">
        <v>299</v>
      </c>
      <c r="AA629" s="1527"/>
      <c r="AB629" s="1528"/>
      <c r="AC629" s="1499"/>
      <c r="AD629" s="1500"/>
      <c r="AE629" s="1501"/>
      <c r="AF629" s="1520"/>
      <c r="AG629" s="1521"/>
      <c r="AH629" s="1521"/>
      <c r="AI629" s="1521"/>
      <c r="AJ629" s="1522"/>
      <c r="AK629" s="1473"/>
      <c r="AL629" s="1474"/>
      <c r="AM629" s="1474"/>
      <c r="AN629" s="1475"/>
      <c r="AO629" s="1517">
        <v>6679654</v>
      </c>
      <c r="AP629" s="1518"/>
      <c r="AQ629" s="1518"/>
      <c r="AR629" s="1518"/>
      <c r="AS629" s="1519"/>
      <c r="AT629" s="1148" t="str">
        <f t="shared" ref="AT629:AT638" si="1">IF(AND(NOT(C628=""),C629="",NOT(C630="")),"!","")</f>
        <v/>
      </c>
      <c r="AU629" s="3"/>
      <c r="AZ629" s="3"/>
      <c r="BA629" s="3"/>
      <c r="BB629" s="3"/>
      <c r="BC629" s="3"/>
      <c r="BD629" s="3"/>
    </row>
    <row r="630" spans="2:157" ht="12.95" customHeight="1">
      <c r="B630" s="52" t="s">
        <v>581</v>
      </c>
      <c r="C630" s="1698"/>
      <c r="D630" s="1476"/>
      <c r="E630" s="1476"/>
      <c r="F630" s="1476"/>
      <c r="G630" s="1476"/>
      <c r="H630" s="1476"/>
      <c r="I630" s="1476"/>
      <c r="J630" s="1476"/>
      <c r="K630" s="1476"/>
      <c r="L630" s="1476"/>
      <c r="M630" s="1495" t="s">
        <v>1183</v>
      </c>
      <c r="N630" s="1495"/>
      <c r="O630" s="1495"/>
      <c r="P630" s="1495"/>
      <c r="Q630" s="1470"/>
      <c r="R630" s="1471"/>
      <c r="S630" s="1472"/>
      <c r="T630" s="1470"/>
      <c r="U630" s="1471"/>
      <c r="V630" s="1472"/>
      <c r="W630" s="1484"/>
      <c r="X630" s="1485"/>
      <c r="Y630" s="1486"/>
      <c r="Z630" s="1526" t="s">
        <v>1183</v>
      </c>
      <c r="AA630" s="1527"/>
      <c r="AB630" s="1528"/>
      <c r="AC630" s="1499"/>
      <c r="AD630" s="1500"/>
      <c r="AE630" s="1501"/>
      <c r="AF630" s="1520"/>
      <c r="AG630" s="1521"/>
      <c r="AH630" s="1521"/>
      <c r="AI630" s="1521"/>
      <c r="AJ630" s="1522"/>
      <c r="AK630" s="1473"/>
      <c r="AL630" s="1474"/>
      <c r="AM630" s="1474"/>
      <c r="AN630" s="1475"/>
      <c r="AO630" s="1517"/>
      <c r="AP630" s="1518"/>
      <c r="AQ630" s="1518"/>
      <c r="AR630" s="1518"/>
      <c r="AS630" s="1519"/>
      <c r="AT630" s="1148" t="str">
        <f t="shared" si="1"/>
        <v/>
      </c>
      <c r="AU630" s="3"/>
      <c r="AZ630" s="3"/>
      <c r="BA630" s="3"/>
      <c r="BB630" s="3"/>
      <c r="BC630" s="3"/>
      <c r="BD630" s="3"/>
    </row>
    <row r="631" spans="2:157" ht="12.95" customHeight="1">
      <c r="B631" s="52" t="s">
        <v>763</v>
      </c>
      <c r="C631" s="1476"/>
      <c r="D631" s="1476"/>
      <c r="E631" s="1476"/>
      <c r="F631" s="1476"/>
      <c r="G631" s="1476"/>
      <c r="H631" s="1476"/>
      <c r="I631" s="1476"/>
      <c r="J631" s="1476"/>
      <c r="K631" s="1476"/>
      <c r="L631" s="1476"/>
      <c r="M631" s="1495" t="s">
        <v>1183</v>
      </c>
      <c r="N631" s="1495"/>
      <c r="O631" s="1495"/>
      <c r="P631" s="1495"/>
      <c r="Q631" s="1470"/>
      <c r="R631" s="1471"/>
      <c r="S631" s="1472"/>
      <c r="T631" s="1470"/>
      <c r="U631" s="1471"/>
      <c r="V631" s="1472"/>
      <c r="W631" s="1484"/>
      <c r="X631" s="1485"/>
      <c r="Y631" s="1486"/>
      <c r="Z631" s="1526" t="s">
        <v>1183</v>
      </c>
      <c r="AA631" s="1527"/>
      <c r="AB631" s="1528"/>
      <c r="AC631" s="1499"/>
      <c r="AD631" s="1500"/>
      <c r="AE631" s="1501"/>
      <c r="AF631" s="1520"/>
      <c r="AG631" s="1521"/>
      <c r="AH631" s="1521"/>
      <c r="AI631" s="1521"/>
      <c r="AJ631" s="1522"/>
      <c r="AK631" s="1473"/>
      <c r="AL631" s="1474"/>
      <c r="AM631" s="1474"/>
      <c r="AN631" s="1475"/>
      <c r="AO631" s="1517"/>
      <c r="AP631" s="1518"/>
      <c r="AQ631" s="1518"/>
      <c r="AR631" s="1518"/>
      <c r="AS631" s="1519"/>
      <c r="AT631" s="1148" t="str">
        <f t="shared" si="1"/>
        <v/>
      </c>
      <c r="AU631" s="3"/>
      <c r="AZ631" s="3"/>
      <c r="BA631" s="3"/>
      <c r="BB631" s="3"/>
      <c r="BC631" s="3"/>
      <c r="BD631" s="3"/>
    </row>
    <row r="632" spans="2:157" ht="12.95" customHeight="1">
      <c r="B632" s="52" t="s">
        <v>584</v>
      </c>
      <c r="C632" s="1476"/>
      <c r="D632" s="1476"/>
      <c r="E632" s="1476"/>
      <c r="F632" s="1476"/>
      <c r="G632" s="1476"/>
      <c r="H632" s="1476"/>
      <c r="I632" s="1476"/>
      <c r="J632" s="1476"/>
      <c r="K632" s="1476"/>
      <c r="L632" s="1476"/>
      <c r="M632" s="1495" t="s">
        <v>1183</v>
      </c>
      <c r="N632" s="1495"/>
      <c r="O632" s="1495"/>
      <c r="P632" s="1495"/>
      <c r="Q632" s="1470"/>
      <c r="R632" s="1471"/>
      <c r="S632" s="1472"/>
      <c r="T632" s="1470"/>
      <c r="U632" s="1471"/>
      <c r="V632" s="1472"/>
      <c r="W632" s="1484"/>
      <c r="X632" s="1485"/>
      <c r="Y632" s="1486"/>
      <c r="Z632" s="1526" t="s">
        <v>1183</v>
      </c>
      <c r="AA632" s="1527"/>
      <c r="AB632" s="1528"/>
      <c r="AC632" s="1499"/>
      <c r="AD632" s="1500"/>
      <c r="AE632" s="1501"/>
      <c r="AF632" s="1520"/>
      <c r="AG632" s="1521"/>
      <c r="AH632" s="1521"/>
      <c r="AI632" s="1521"/>
      <c r="AJ632" s="1522"/>
      <c r="AK632" s="1473"/>
      <c r="AL632" s="1474"/>
      <c r="AM632" s="1474"/>
      <c r="AN632" s="1475"/>
      <c r="AO632" s="1517"/>
      <c r="AP632" s="1518"/>
      <c r="AQ632" s="1518"/>
      <c r="AR632" s="1518"/>
      <c r="AS632" s="1519"/>
      <c r="AT632" s="1148" t="str">
        <f t="shared" si="1"/>
        <v/>
      </c>
      <c r="AU632" s="3"/>
      <c r="AZ632" s="3"/>
      <c r="BA632" s="3"/>
      <c r="BB632" s="3"/>
      <c r="BC632" s="3"/>
      <c r="BD632" s="3"/>
    </row>
    <row r="633" spans="2:157" ht="12.95" customHeight="1">
      <c r="B633" s="52" t="s">
        <v>455</v>
      </c>
      <c r="C633" s="1476"/>
      <c r="D633" s="1476"/>
      <c r="E633" s="1476"/>
      <c r="F633" s="1476"/>
      <c r="G633" s="1476"/>
      <c r="H633" s="1476"/>
      <c r="I633" s="1476"/>
      <c r="J633" s="1476"/>
      <c r="K633" s="1476"/>
      <c r="L633" s="1476"/>
      <c r="M633" s="1495" t="s">
        <v>1183</v>
      </c>
      <c r="N633" s="1495"/>
      <c r="O633" s="1495"/>
      <c r="P633" s="1495"/>
      <c r="Q633" s="1470"/>
      <c r="R633" s="1471"/>
      <c r="S633" s="1472"/>
      <c r="T633" s="1470"/>
      <c r="U633" s="1471"/>
      <c r="V633" s="1472"/>
      <c r="W633" s="1484"/>
      <c r="X633" s="1485"/>
      <c r="Y633" s="1486"/>
      <c r="Z633" s="1526" t="s">
        <v>1183</v>
      </c>
      <c r="AA633" s="1527"/>
      <c r="AB633" s="1528"/>
      <c r="AC633" s="1499"/>
      <c r="AD633" s="1500"/>
      <c r="AE633" s="1501"/>
      <c r="AF633" s="1520"/>
      <c r="AG633" s="1521"/>
      <c r="AH633" s="1521"/>
      <c r="AI633" s="1521"/>
      <c r="AJ633" s="1522"/>
      <c r="AK633" s="1473"/>
      <c r="AL633" s="1474"/>
      <c r="AM633" s="1474"/>
      <c r="AN633" s="1475"/>
      <c r="AO633" s="1517"/>
      <c r="AP633" s="1518"/>
      <c r="AQ633" s="1518"/>
      <c r="AR633" s="1518"/>
      <c r="AS633" s="1519"/>
      <c r="AT633" s="1148" t="str">
        <f t="shared" si="1"/>
        <v/>
      </c>
      <c r="AU633" s="3"/>
      <c r="AV633" s="3"/>
      <c r="AW633" s="3"/>
      <c r="AX633" s="3"/>
      <c r="AY633" s="3"/>
      <c r="AZ633" s="3"/>
      <c r="BA633" s="3"/>
      <c r="BB633" s="3"/>
      <c r="BC633" s="3"/>
      <c r="BD633" s="3"/>
    </row>
    <row r="634" spans="2:157" ht="12.95" customHeight="1">
      <c r="B634" s="52" t="s">
        <v>456</v>
      </c>
      <c r="C634" s="1476"/>
      <c r="D634" s="1476"/>
      <c r="E634" s="1476"/>
      <c r="F634" s="1476"/>
      <c r="G634" s="1476"/>
      <c r="H634" s="1476"/>
      <c r="I634" s="1476"/>
      <c r="J634" s="1476"/>
      <c r="K634" s="1476"/>
      <c r="L634" s="1476"/>
      <c r="M634" s="1495" t="s">
        <v>1183</v>
      </c>
      <c r="N634" s="1495"/>
      <c r="O634" s="1495"/>
      <c r="P634" s="1495"/>
      <c r="Q634" s="1470"/>
      <c r="R634" s="1471"/>
      <c r="S634" s="1472"/>
      <c r="T634" s="1470"/>
      <c r="U634" s="1471"/>
      <c r="V634" s="1472"/>
      <c r="W634" s="1484"/>
      <c r="X634" s="1485"/>
      <c r="Y634" s="1486"/>
      <c r="Z634" s="1526" t="s">
        <v>1183</v>
      </c>
      <c r="AA634" s="1527"/>
      <c r="AB634" s="1528"/>
      <c r="AC634" s="1499"/>
      <c r="AD634" s="1500"/>
      <c r="AE634" s="1501"/>
      <c r="AF634" s="1520"/>
      <c r="AG634" s="1521"/>
      <c r="AH634" s="1521"/>
      <c r="AI634" s="1521"/>
      <c r="AJ634" s="1522"/>
      <c r="AK634" s="1473"/>
      <c r="AL634" s="1474"/>
      <c r="AM634" s="1474"/>
      <c r="AN634" s="1475"/>
      <c r="AO634" s="1517"/>
      <c r="AP634" s="1518"/>
      <c r="AQ634" s="1518"/>
      <c r="AR634" s="1518"/>
      <c r="AS634" s="1519"/>
      <c r="AT634" s="1148" t="str">
        <f t="shared" si="1"/>
        <v/>
      </c>
      <c r="AU634" s="3"/>
      <c r="AV634" s="3"/>
      <c r="AW634" s="3"/>
      <c r="AX634" s="3"/>
      <c r="AY634" s="3"/>
      <c r="AZ634" s="3"/>
      <c r="BA634" s="3" t="s">
        <v>1183</v>
      </c>
      <c r="BB634" s="3"/>
      <c r="BC634" s="3"/>
      <c r="BD634" s="3"/>
    </row>
    <row r="635" spans="2:157" ht="12.95" customHeight="1">
      <c r="B635" s="52" t="s">
        <v>461</v>
      </c>
      <c r="C635" s="1476"/>
      <c r="D635" s="1476"/>
      <c r="E635" s="1476"/>
      <c r="F635" s="1476"/>
      <c r="G635" s="1476"/>
      <c r="H635" s="1476"/>
      <c r="I635" s="1476"/>
      <c r="J635" s="1476"/>
      <c r="K635" s="1476"/>
      <c r="L635" s="1476"/>
      <c r="M635" s="1495" t="s">
        <v>1183</v>
      </c>
      <c r="N635" s="1495"/>
      <c r="O635" s="1495"/>
      <c r="P635" s="1495"/>
      <c r="Q635" s="1470"/>
      <c r="R635" s="1471"/>
      <c r="S635" s="1472"/>
      <c r="T635" s="1470"/>
      <c r="U635" s="1471"/>
      <c r="V635" s="1472"/>
      <c r="W635" s="1484"/>
      <c r="X635" s="1485"/>
      <c r="Y635" s="1486"/>
      <c r="Z635" s="1526" t="s">
        <v>1183</v>
      </c>
      <c r="AA635" s="1527"/>
      <c r="AB635" s="1528"/>
      <c r="AC635" s="1499"/>
      <c r="AD635" s="1500"/>
      <c r="AE635" s="1501"/>
      <c r="AF635" s="1520"/>
      <c r="AG635" s="1521"/>
      <c r="AH635" s="1521"/>
      <c r="AI635" s="1521"/>
      <c r="AJ635" s="1522"/>
      <c r="AK635" s="1473"/>
      <c r="AL635" s="1474"/>
      <c r="AM635" s="1474"/>
      <c r="AN635" s="1475"/>
      <c r="AO635" s="1517"/>
      <c r="AP635" s="1518"/>
      <c r="AQ635" s="1518"/>
      <c r="AR635" s="1518"/>
      <c r="AS635" s="1519"/>
      <c r="AT635" s="1148" t="str">
        <f t="shared" si="1"/>
        <v/>
      </c>
      <c r="AU635" s="3"/>
      <c r="AV635" s="3"/>
      <c r="AW635" s="3"/>
      <c r="AX635" s="3"/>
      <c r="AY635" s="3"/>
      <c r="AZ635" s="34"/>
      <c r="BA635" s="3" t="s">
        <v>458</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96">
        <f t="shared" ref="DX635:DX669" si="2">EZ718*(CP718/$CP$753)</f>
        <v>328.43243243243245</v>
      </c>
      <c r="DY635" s="1496"/>
      <c r="DZ635" s="1496"/>
      <c r="EA635" s="1496"/>
      <c r="EB635" s="1496"/>
      <c r="EC635" s="1496" t="e">
        <f t="shared" ref="EC635:EC669" si="3">FE718*(CU718/$CU$753)</f>
        <v>#VALUE!</v>
      </c>
      <c r="ED635" s="1496"/>
      <c r="EE635" s="1496"/>
      <c r="EF635" s="1496"/>
      <c r="EG635" s="1496"/>
      <c r="EH635" s="1496" t="e">
        <f t="shared" ref="EH635:EH669" si="4">FJ718*(CZ718/$CZ$753)</f>
        <v>#VALUE!</v>
      </c>
      <c r="EI635" s="1496"/>
      <c r="EJ635" s="1496"/>
      <c r="EK635" s="1496"/>
      <c r="EL635" s="1496"/>
      <c r="EM635" s="1496" t="e">
        <f t="shared" ref="EM635:EM669" si="5">FO718*(DE718/$DE$753)</f>
        <v>#VALUE!</v>
      </c>
      <c r="EN635" s="1496"/>
      <c r="EO635" s="1496"/>
      <c r="EP635" s="1496"/>
      <c r="EQ635" s="1496"/>
      <c r="ER635" s="1496" t="e">
        <f t="shared" ref="ER635:ER669" si="6">FT718*(DJ718/$DJ$753)</f>
        <v>#VALUE!</v>
      </c>
      <c r="ES635" s="1496"/>
      <c r="ET635" s="1496"/>
      <c r="EU635" s="1496"/>
      <c r="EV635" s="1496"/>
      <c r="EW635" s="1496" t="e">
        <f t="shared" ref="EW635:EW669" si="7">FY718*(DO718/$DO$753)</f>
        <v>#VALUE!</v>
      </c>
      <c r="EX635" s="1496"/>
      <c r="EY635" s="1496"/>
      <c r="EZ635" s="1496"/>
      <c r="FA635" s="1496"/>
    </row>
    <row r="636" spans="2:157" ht="12.95" customHeight="1">
      <c r="B636" s="52" t="s">
        <v>646</v>
      </c>
      <c r="C636" s="1476"/>
      <c r="D636" s="1476"/>
      <c r="E636" s="1476"/>
      <c r="F636" s="1476"/>
      <c r="G636" s="1476"/>
      <c r="H636" s="1476"/>
      <c r="I636" s="1476"/>
      <c r="J636" s="1476"/>
      <c r="K636" s="1476"/>
      <c r="L636" s="1476"/>
      <c r="M636" s="1495" t="s">
        <v>1183</v>
      </c>
      <c r="N636" s="1495"/>
      <c r="O636" s="1495"/>
      <c r="P636" s="1495"/>
      <c r="Q636" s="1470"/>
      <c r="R636" s="1471"/>
      <c r="S636" s="1472"/>
      <c r="T636" s="1470"/>
      <c r="U636" s="1471"/>
      <c r="V636" s="1472"/>
      <c r="W636" s="1484"/>
      <c r="X636" s="1485"/>
      <c r="Y636" s="1486"/>
      <c r="Z636" s="1526" t="s">
        <v>1183</v>
      </c>
      <c r="AA636" s="1527"/>
      <c r="AB636" s="1528"/>
      <c r="AC636" s="1499"/>
      <c r="AD636" s="1500"/>
      <c r="AE636" s="1501"/>
      <c r="AF636" s="1520"/>
      <c r="AG636" s="1521"/>
      <c r="AH636" s="1521"/>
      <c r="AI636" s="1521"/>
      <c r="AJ636" s="1522"/>
      <c r="AK636" s="1473"/>
      <c r="AL636" s="1474"/>
      <c r="AM636" s="1474"/>
      <c r="AN636" s="1475"/>
      <c r="AO636" s="1517"/>
      <c r="AP636" s="1518"/>
      <c r="AQ636" s="1518"/>
      <c r="AR636" s="1518"/>
      <c r="AS636" s="1519"/>
      <c r="AT636" s="1148" t="str">
        <f t="shared" si="1"/>
        <v/>
      </c>
      <c r="AV636" s="3"/>
      <c r="AW636" s="3"/>
      <c r="AX636" s="3"/>
      <c r="AY636" s="3"/>
      <c r="AZ636" s="34"/>
      <c r="BA636" s="3" t="s">
        <v>457</v>
      </c>
      <c r="BB636" s="34"/>
      <c r="BC636" s="34"/>
      <c r="BD636" s="34"/>
      <c r="BE636" s="34"/>
      <c r="BF636" s="34"/>
      <c r="BG636" s="34"/>
      <c r="BH636" s="34"/>
      <c r="BI636" s="34"/>
      <c r="BJ636" s="34"/>
      <c r="BK636" s="34"/>
      <c r="BL636" s="34"/>
      <c r="BM636" s="34"/>
      <c r="DA636" s="3"/>
      <c r="DB636" s="3"/>
      <c r="DC636" s="3"/>
      <c r="DD636" s="3"/>
      <c r="DE636" s="3"/>
      <c r="DF636" s="3"/>
      <c r="DX636" s="1496">
        <f t="shared" si="2"/>
        <v>136.87837837837839</v>
      </c>
      <c r="DY636" s="1496"/>
      <c r="DZ636" s="1496"/>
      <c r="EA636" s="1496"/>
      <c r="EB636" s="1496"/>
      <c r="EC636" s="1496" t="e">
        <f t="shared" si="3"/>
        <v>#VALUE!</v>
      </c>
      <c r="ED636" s="1496"/>
      <c r="EE636" s="1496"/>
      <c r="EF636" s="1496"/>
      <c r="EG636" s="1496"/>
      <c r="EH636" s="1496" t="e">
        <f t="shared" si="4"/>
        <v>#VALUE!</v>
      </c>
      <c r="EI636" s="1496"/>
      <c r="EJ636" s="1496"/>
      <c r="EK636" s="1496"/>
      <c r="EL636" s="1496"/>
      <c r="EM636" s="1496" t="e">
        <f t="shared" si="5"/>
        <v>#VALUE!</v>
      </c>
      <c r="EN636" s="1496"/>
      <c r="EO636" s="1496"/>
      <c r="EP636" s="1496"/>
      <c r="EQ636" s="1496"/>
      <c r="ER636" s="1496" t="e">
        <f t="shared" si="6"/>
        <v>#VALUE!</v>
      </c>
      <c r="ES636" s="1496"/>
      <c r="ET636" s="1496"/>
      <c r="EU636" s="1496"/>
      <c r="EV636" s="1496"/>
      <c r="EW636" s="1496" t="e">
        <f t="shared" si="7"/>
        <v>#VALUE!</v>
      </c>
      <c r="EX636" s="1496"/>
      <c r="EY636" s="1496"/>
      <c r="EZ636" s="1496"/>
      <c r="FA636" s="1496"/>
    </row>
    <row r="637" spans="2:157" ht="12.95" customHeight="1">
      <c r="B637" s="52" t="s">
        <v>361</v>
      </c>
      <c r="C637" s="1476"/>
      <c r="D637" s="1476"/>
      <c r="E637" s="1476"/>
      <c r="F637" s="1476"/>
      <c r="G637" s="1476"/>
      <c r="H637" s="1476"/>
      <c r="I637" s="1476"/>
      <c r="J637" s="1476"/>
      <c r="K637" s="1476"/>
      <c r="L637" s="1476"/>
      <c r="M637" s="1495" t="s">
        <v>1183</v>
      </c>
      <c r="N637" s="1495"/>
      <c r="O637" s="1495"/>
      <c r="P637" s="1495"/>
      <c r="Q637" s="1470"/>
      <c r="R637" s="1471"/>
      <c r="S637" s="1472"/>
      <c r="T637" s="1470"/>
      <c r="U637" s="1471"/>
      <c r="V637" s="1472"/>
      <c r="W637" s="1484"/>
      <c r="X637" s="1485"/>
      <c r="Y637" s="1486"/>
      <c r="Z637" s="1526" t="s">
        <v>1183</v>
      </c>
      <c r="AA637" s="1527"/>
      <c r="AB637" s="1528"/>
      <c r="AC637" s="1499"/>
      <c r="AD637" s="1500"/>
      <c r="AE637" s="1501"/>
      <c r="AF637" s="1520"/>
      <c r="AG637" s="1521"/>
      <c r="AH637" s="1521"/>
      <c r="AI637" s="1521"/>
      <c r="AJ637" s="1522"/>
      <c r="AK637" s="1473"/>
      <c r="AL637" s="1474"/>
      <c r="AM637" s="1474"/>
      <c r="AN637" s="1475"/>
      <c r="AO637" s="1517"/>
      <c r="AP637" s="1518"/>
      <c r="AQ637" s="1518"/>
      <c r="AR637" s="1518"/>
      <c r="AS637" s="1519"/>
      <c r="AT637" s="1148" t="str">
        <f t="shared" si="1"/>
        <v/>
      </c>
      <c r="AV637" s="3"/>
      <c r="AW637" s="3"/>
      <c r="AX637" s="3"/>
      <c r="AY637" s="3"/>
      <c r="AZ637" s="34"/>
      <c r="BA637" s="3" t="s">
        <v>2131</v>
      </c>
      <c r="BB637" s="34"/>
      <c r="BC637" s="34"/>
      <c r="BD637" s="34"/>
      <c r="BE637" s="34"/>
      <c r="BF637" s="34"/>
      <c r="BG637" s="34"/>
      <c r="BH637" s="34"/>
      <c r="BI637" s="34"/>
      <c r="BJ637" s="34"/>
      <c r="BK637" s="34"/>
      <c r="BL637" s="34"/>
      <c r="BM637" s="34"/>
      <c r="DA637" s="3"/>
      <c r="DB637" s="3"/>
      <c r="DC637" s="3"/>
      <c r="DD637" s="3"/>
      <c r="DE637" s="3"/>
      <c r="DF637" s="3"/>
      <c r="DX637" s="1496">
        <f t="shared" si="2"/>
        <v>915.44594594594582</v>
      </c>
      <c r="DY637" s="1496"/>
      <c r="DZ637" s="1496"/>
      <c r="EA637" s="1496"/>
      <c r="EB637" s="1496"/>
      <c r="EC637" s="1496" t="e">
        <f t="shared" si="3"/>
        <v>#VALUE!</v>
      </c>
      <c r="ED637" s="1496"/>
      <c r="EE637" s="1496"/>
      <c r="EF637" s="1496"/>
      <c r="EG637" s="1496"/>
      <c r="EH637" s="1496" t="e">
        <f t="shared" si="4"/>
        <v>#VALUE!</v>
      </c>
      <c r="EI637" s="1496"/>
      <c r="EJ637" s="1496"/>
      <c r="EK637" s="1496"/>
      <c r="EL637" s="1496"/>
      <c r="EM637" s="1496" t="e">
        <f t="shared" si="5"/>
        <v>#VALUE!</v>
      </c>
      <c r="EN637" s="1496"/>
      <c r="EO637" s="1496"/>
      <c r="EP637" s="1496"/>
      <c r="EQ637" s="1496"/>
      <c r="ER637" s="1496" t="e">
        <f t="shared" si="6"/>
        <v>#VALUE!</v>
      </c>
      <c r="ES637" s="1496"/>
      <c r="ET637" s="1496"/>
      <c r="EU637" s="1496"/>
      <c r="EV637" s="1496"/>
      <c r="EW637" s="1496" t="e">
        <f t="shared" si="7"/>
        <v>#VALUE!</v>
      </c>
      <c r="EX637" s="1496"/>
      <c r="EY637" s="1496"/>
      <c r="EZ637" s="1496"/>
      <c r="FA637" s="1496"/>
    </row>
    <row r="638" spans="2:157" ht="12.95" customHeight="1">
      <c r="B638" s="52" t="s">
        <v>362</v>
      </c>
      <c r="C638" s="1476"/>
      <c r="D638" s="1476"/>
      <c r="E638" s="1476"/>
      <c r="F638" s="1476"/>
      <c r="G638" s="1476"/>
      <c r="H638" s="1476"/>
      <c r="I638" s="1476"/>
      <c r="J638" s="1476"/>
      <c r="K638" s="1476"/>
      <c r="L638" s="1476"/>
      <c r="M638" s="1495" t="s">
        <v>1183</v>
      </c>
      <c r="N638" s="1495"/>
      <c r="O638" s="1495"/>
      <c r="P638" s="1495"/>
      <c r="Q638" s="1470"/>
      <c r="R638" s="1471"/>
      <c r="S638" s="1472"/>
      <c r="T638" s="1470"/>
      <c r="U638" s="1471"/>
      <c r="V638" s="1472"/>
      <c r="W638" s="1484"/>
      <c r="X638" s="1485"/>
      <c r="Y638" s="1486"/>
      <c r="Z638" s="1526" t="s">
        <v>1183</v>
      </c>
      <c r="AA638" s="1527"/>
      <c r="AB638" s="1528"/>
      <c r="AC638" s="1499"/>
      <c r="AD638" s="1500"/>
      <c r="AE638" s="1501"/>
      <c r="AF638" s="1520"/>
      <c r="AG638" s="1521"/>
      <c r="AH638" s="1521"/>
      <c r="AI638" s="1521"/>
      <c r="AJ638" s="1522"/>
      <c r="AK638" s="1473"/>
      <c r="AL638" s="1474"/>
      <c r="AM638" s="1474"/>
      <c r="AN638" s="1475"/>
      <c r="AO638" s="1517"/>
      <c r="AP638" s="1518"/>
      <c r="AQ638" s="1518"/>
      <c r="AR638" s="1518"/>
      <c r="AS638" s="1519"/>
      <c r="AT638" s="1148" t="str">
        <f t="shared" si="1"/>
        <v/>
      </c>
      <c r="AV638" s="3"/>
      <c r="AW638" s="3"/>
      <c r="AX638" s="3"/>
      <c r="AY638" s="3"/>
      <c r="AZ638" s="34"/>
      <c r="BA638" s="3" t="s">
        <v>299</v>
      </c>
      <c r="BB638" s="34"/>
      <c r="BC638" s="34"/>
      <c r="BD638" s="34"/>
      <c r="BE638" s="34"/>
      <c r="BF638" s="34"/>
      <c r="BG638" s="34"/>
      <c r="BH638" s="34"/>
      <c r="BI638" s="34"/>
      <c r="BJ638" s="34"/>
      <c r="BK638" s="34"/>
      <c r="BL638" s="34"/>
      <c r="BM638" s="34"/>
      <c r="DA638" s="3"/>
      <c r="DB638" s="3"/>
      <c r="DC638" s="3"/>
      <c r="DD638" s="3"/>
      <c r="DE638" s="3"/>
      <c r="DF638" s="3"/>
      <c r="DX638" s="1496" t="e">
        <f t="shared" si="2"/>
        <v>#VALUE!</v>
      </c>
      <c r="DY638" s="1496"/>
      <c r="DZ638" s="1496"/>
      <c r="EA638" s="1496"/>
      <c r="EB638" s="1496"/>
      <c r="EC638" s="1496">
        <f t="shared" si="3"/>
        <v>155.9748427672956</v>
      </c>
      <c r="ED638" s="1496"/>
      <c r="EE638" s="1496"/>
      <c r="EF638" s="1496"/>
      <c r="EG638" s="1496"/>
      <c r="EH638" s="1496" t="e">
        <f t="shared" si="4"/>
        <v>#VALUE!</v>
      </c>
      <c r="EI638" s="1496"/>
      <c r="EJ638" s="1496"/>
      <c r="EK638" s="1496"/>
      <c r="EL638" s="1496"/>
      <c r="EM638" s="1496" t="e">
        <f t="shared" si="5"/>
        <v>#VALUE!</v>
      </c>
      <c r="EN638" s="1496"/>
      <c r="EO638" s="1496"/>
      <c r="EP638" s="1496"/>
      <c r="EQ638" s="1496"/>
      <c r="ER638" s="1496" t="e">
        <f t="shared" si="6"/>
        <v>#VALUE!</v>
      </c>
      <c r="ES638" s="1496"/>
      <c r="ET638" s="1496"/>
      <c r="EU638" s="1496"/>
      <c r="EV638" s="1496"/>
      <c r="EW638" s="1496" t="e">
        <f t="shared" si="7"/>
        <v>#VALUE!</v>
      </c>
      <c r="EX638" s="1496"/>
      <c r="EY638" s="1496"/>
      <c r="EZ638" s="1496"/>
      <c r="FA638" s="1496"/>
    </row>
    <row r="639" spans="2:157" ht="12.95" customHeight="1">
      <c r="B639" s="1502" t="s">
        <v>128</v>
      </c>
      <c r="C639" s="1503"/>
      <c r="D639" s="1503"/>
      <c r="E639" s="1503"/>
      <c r="F639" s="1503"/>
      <c r="G639" s="1503"/>
      <c r="H639" s="1503"/>
      <c r="I639" s="1503"/>
      <c r="J639" s="1503"/>
      <c r="K639" s="1503"/>
      <c r="L639" s="1503"/>
      <c r="M639" s="1503"/>
      <c r="N639" s="1503"/>
      <c r="O639" s="1503"/>
      <c r="P639" s="1503"/>
      <c r="Q639" s="1503"/>
      <c r="R639" s="1503"/>
      <c r="S639" s="1503"/>
      <c r="T639" s="1503"/>
      <c r="U639" s="1503"/>
      <c r="V639" s="1503"/>
      <c r="W639" s="1503"/>
      <c r="X639" s="1503"/>
      <c r="Y639" s="1503"/>
      <c r="Z639" s="1503"/>
      <c r="AA639" s="1503"/>
      <c r="AB639" s="1503"/>
      <c r="AC639" s="1503"/>
      <c r="AD639" s="1503"/>
      <c r="AE639" s="1503"/>
      <c r="AF639" s="1503"/>
      <c r="AG639" s="1503"/>
      <c r="AH639" s="1503"/>
      <c r="AI639" s="1503"/>
      <c r="AJ639" s="1503"/>
      <c r="AK639" s="1503"/>
      <c r="AL639" s="1503"/>
      <c r="AM639" s="1503"/>
      <c r="AN639" s="1504"/>
      <c r="AO639" s="1386">
        <f>SUM(AO627:AR638)</f>
        <v>51285586</v>
      </c>
      <c r="AP639" s="1387"/>
      <c r="AQ639" s="1387"/>
      <c r="AR639" s="1387"/>
      <c r="AS639" s="1388"/>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496" t="e">
        <f t="shared" si="2"/>
        <v>#VALUE!</v>
      </c>
      <c r="DY639" s="1496"/>
      <c r="DZ639" s="1496"/>
      <c r="EA639" s="1496"/>
      <c r="EB639" s="1496"/>
      <c r="EC639" s="1496">
        <f t="shared" si="3"/>
        <v>1087.9245283018868</v>
      </c>
      <c r="ED639" s="1496"/>
      <c r="EE639" s="1496"/>
      <c r="EF639" s="1496"/>
      <c r="EG639" s="1496"/>
      <c r="EH639" s="1496" t="e">
        <f t="shared" si="4"/>
        <v>#VALUE!</v>
      </c>
      <c r="EI639" s="1496"/>
      <c r="EJ639" s="1496"/>
      <c r="EK639" s="1496"/>
      <c r="EL639" s="1496"/>
      <c r="EM639" s="1496" t="e">
        <f t="shared" si="5"/>
        <v>#VALUE!</v>
      </c>
      <c r="EN639" s="1496"/>
      <c r="EO639" s="1496"/>
      <c r="EP639" s="1496"/>
      <c r="EQ639" s="1496"/>
      <c r="ER639" s="1496" t="e">
        <f t="shared" si="6"/>
        <v>#VALUE!</v>
      </c>
      <c r="ES639" s="1496"/>
      <c r="ET639" s="1496"/>
      <c r="EU639" s="1496"/>
      <c r="EV639" s="1496"/>
      <c r="EW639" s="1496" t="e">
        <f t="shared" si="7"/>
        <v>#VALUE!</v>
      </c>
      <c r="EX639" s="1496"/>
      <c r="EY639" s="1496"/>
      <c r="EZ639" s="1496"/>
      <c r="FA639" s="1496"/>
    </row>
    <row r="640" spans="2:157" ht="12.95" customHeight="1">
      <c r="B640" s="1502" t="s">
        <v>266</v>
      </c>
      <c r="C640" s="1503"/>
      <c r="D640" s="1503"/>
      <c r="E640" s="1503"/>
      <c r="F640" s="1503"/>
      <c r="G640" s="1503"/>
      <c r="H640" s="1503"/>
      <c r="I640" s="1503"/>
      <c r="J640" s="1503"/>
      <c r="K640" s="1503"/>
      <c r="L640" s="1503"/>
      <c r="M640" s="1503"/>
      <c r="N640" s="1503"/>
      <c r="O640" s="1503"/>
      <c r="P640" s="1503"/>
      <c r="Q640" s="1503"/>
      <c r="R640" s="1503"/>
      <c r="S640" s="1503"/>
      <c r="T640" s="1503"/>
      <c r="U640" s="1503"/>
      <c r="V640" s="1503"/>
      <c r="W640" s="1503"/>
      <c r="X640" s="1503"/>
      <c r="Y640" s="1503"/>
      <c r="Z640" s="1503"/>
      <c r="AA640" s="1503"/>
      <c r="AB640" s="1503"/>
      <c r="AC640" s="1503"/>
      <c r="AD640" s="1503"/>
      <c r="AE640" s="1503"/>
      <c r="AF640" s="1503"/>
      <c r="AG640" s="1503"/>
      <c r="AH640" s="1503"/>
      <c r="AI640" s="1503"/>
      <c r="AJ640" s="1503"/>
      <c r="AK640" s="1503"/>
      <c r="AL640" s="1503"/>
      <c r="AM640" s="1503"/>
      <c r="AN640" s="1504"/>
      <c r="AO640" s="1517">
        <v>39043539</v>
      </c>
      <c r="AP640" s="1518"/>
      <c r="AQ640" s="1518"/>
      <c r="AR640" s="1518"/>
      <c r="AS640" s="1519"/>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496" t="e">
        <f t="shared" si="2"/>
        <v>#VALUE!</v>
      </c>
      <c r="DY640" s="1496"/>
      <c r="DZ640" s="1496"/>
      <c r="EA640" s="1496"/>
      <c r="EB640" s="1496"/>
      <c r="EC640" s="1496">
        <f t="shared" si="3"/>
        <v>682.38993710691818</v>
      </c>
      <c r="ED640" s="1496"/>
      <c r="EE640" s="1496"/>
      <c r="EF640" s="1496"/>
      <c r="EG640" s="1496"/>
      <c r="EH640" s="1496" t="e">
        <f t="shared" si="4"/>
        <v>#VALUE!</v>
      </c>
      <c r="EI640" s="1496"/>
      <c r="EJ640" s="1496"/>
      <c r="EK640" s="1496"/>
      <c r="EL640" s="1496"/>
      <c r="EM640" s="1496" t="e">
        <f t="shared" si="5"/>
        <v>#VALUE!</v>
      </c>
      <c r="EN640" s="1496"/>
      <c r="EO640" s="1496"/>
      <c r="EP640" s="1496"/>
      <c r="EQ640" s="1496"/>
      <c r="ER640" s="1496" t="e">
        <f t="shared" si="6"/>
        <v>#VALUE!</v>
      </c>
      <c r="ES640" s="1496"/>
      <c r="ET640" s="1496"/>
      <c r="EU640" s="1496"/>
      <c r="EV640" s="1496"/>
      <c r="EW640" s="1496" t="e">
        <f t="shared" si="7"/>
        <v>#VALUE!</v>
      </c>
      <c r="EX640" s="1496"/>
      <c r="EY640" s="1496"/>
      <c r="EZ640" s="1496"/>
      <c r="FA640" s="1496"/>
    </row>
    <row r="641" spans="1:157" ht="12.95" customHeight="1">
      <c r="B641" s="1659" t="s">
        <v>267</v>
      </c>
      <c r="C641" s="1660"/>
      <c r="D641" s="1660"/>
      <c r="E641" s="1660"/>
      <c r="F641" s="1660"/>
      <c r="G641" s="1660"/>
      <c r="H641" s="1660"/>
      <c r="I641" s="1660"/>
      <c r="J641" s="1660"/>
      <c r="K641" s="1660"/>
      <c r="L641" s="1660"/>
      <c r="M641" s="1660"/>
      <c r="N641" s="1660"/>
      <c r="O641" s="1660"/>
      <c r="P641" s="1660"/>
      <c r="Q641" s="1660"/>
      <c r="R641" s="1660"/>
      <c r="S641" s="1660"/>
      <c r="T641" s="1660"/>
      <c r="U641" s="1660"/>
      <c r="V641" s="1660"/>
      <c r="W641" s="1660"/>
      <c r="X641" s="1660"/>
      <c r="Y641" s="1660"/>
      <c r="Z641" s="1660"/>
      <c r="AA641" s="1660"/>
      <c r="AB641" s="1660"/>
      <c r="AC641" s="1660"/>
      <c r="AD641" s="1660"/>
      <c r="AE641" s="1660"/>
      <c r="AF641" s="1660"/>
      <c r="AG641" s="1660"/>
      <c r="AH641" s="1660"/>
      <c r="AI641" s="1660"/>
      <c r="AJ641" s="1660"/>
      <c r="AK641" s="1660"/>
      <c r="AL641" s="1660"/>
      <c r="AM641" s="1660"/>
      <c r="AN641" s="1661"/>
      <c r="AO641" s="1386">
        <f>AO639+AO640</f>
        <v>90329125</v>
      </c>
      <c r="AP641" s="1387"/>
      <c r="AQ641" s="1387"/>
      <c r="AR641" s="1387"/>
      <c r="AS641" s="1388"/>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496" t="e">
        <f t="shared" si="2"/>
        <v>#VALUE!</v>
      </c>
      <c r="DY641" s="1496"/>
      <c r="DZ641" s="1496"/>
      <c r="EA641" s="1496"/>
      <c r="EB641" s="1496"/>
      <c r="EC641" s="1496" t="e">
        <f t="shared" si="3"/>
        <v>#VALUE!</v>
      </c>
      <c r="ED641" s="1496"/>
      <c r="EE641" s="1496"/>
      <c r="EF641" s="1496"/>
      <c r="EG641" s="1496"/>
      <c r="EH641" s="1496">
        <f t="shared" si="4"/>
        <v>253.77272727272725</v>
      </c>
      <c r="EI641" s="1496"/>
      <c r="EJ641" s="1496"/>
      <c r="EK641" s="1496"/>
      <c r="EL641" s="1496"/>
      <c r="EM641" s="1496" t="e">
        <f t="shared" si="5"/>
        <v>#VALUE!</v>
      </c>
      <c r="EN641" s="1496"/>
      <c r="EO641" s="1496"/>
      <c r="EP641" s="1496"/>
      <c r="EQ641" s="1496"/>
      <c r="ER641" s="1496" t="e">
        <f t="shared" si="6"/>
        <v>#VALUE!</v>
      </c>
      <c r="ES641" s="1496"/>
      <c r="ET641" s="1496"/>
      <c r="EU641" s="1496"/>
      <c r="EV641" s="1496"/>
      <c r="EW641" s="1496" t="e">
        <f t="shared" si="7"/>
        <v>#VALUE!</v>
      </c>
      <c r="EX641" s="1496"/>
      <c r="EY641" s="1496"/>
      <c r="EZ641" s="1496"/>
      <c r="FA641" s="1496"/>
    </row>
    <row r="642" spans="1:157" ht="12.95"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496" t="e">
        <f t="shared" si="2"/>
        <v>#VALUE!</v>
      </c>
      <c r="DY642" s="1496"/>
      <c r="DZ642" s="1496"/>
      <c r="EA642" s="1496"/>
      <c r="EB642" s="1496"/>
      <c r="EC642" s="1496" t="e">
        <f t="shared" si="3"/>
        <v>#VALUE!</v>
      </c>
      <c r="ED642" s="1496"/>
      <c r="EE642" s="1496"/>
      <c r="EF642" s="1496"/>
      <c r="EG642" s="1496"/>
      <c r="EH642" s="1496">
        <f t="shared" si="4"/>
        <v>1928.5</v>
      </c>
      <c r="EI642" s="1496"/>
      <c r="EJ642" s="1496"/>
      <c r="EK642" s="1496"/>
      <c r="EL642" s="1496"/>
      <c r="EM642" s="1496" t="e">
        <f t="shared" si="5"/>
        <v>#VALUE!</v>
      </c>
      <c r="EN642" s="1496"/>
      <c r="EO642" s="1496"/>
      <c r="EP642" s="1496"/>
      <c r="EQ642" s="1496"/>
      <c r="ER642" s="1496" t="e">
        <f t="shared" si="6"/>
        <v>#VALUE!</v>
      </c>
      <c r="ES642" s="1496"/>
      <c r="ET642" s="1496"/>
      <c r="EU642" s="1496"/>
      <c r="EV642" s="1496"/>
      <c r="EW642" s="1496" t="e">
        <f t="shared" si="7"/>
        <v>#VALUE!</v>
      </c>
      <c r="EX642" s="1496"/>
      <c r="EY642" s="1496"/>
      <c r="EZ642" s="1496"/>
      <c r="FA642" s="1496"/>
    </row>
    <row r="643" spans="1:157" ht="12.95" customHeight="1">
      <c r="A643" s="55" t="s">
        <v>112</v>
      </c>
      <c r="B643" t="s">
        <v>463</v>
      </c>
      <c r="G643" s="1389" t="str">
        <f>C627</f>
        <v>Citibank Tax-Exempt Permanent Loan</v>
      </c>
      <c r="H643" s="1389"/>
      <c r="I643" s="1389"/>
      <c r="J643" s="1389"/>
      <c r="K643" s="1389"/>
      <c r="L643" s="1389"/>
      <c r="M643" s="1389"/>
      <c r="N643" s="1389"/>
      <c r="O643" s="1389"/>
      <c r="P643" s="1389"/>
      <c r="Q643" s="1389"/>
      <c r="R643" s="1389"/>
      <c r="S643" s="8"/>
      <c r="T643" s="55" t="s">
        <v>113</v>
      </c>
      <c r="U643" t="s">
        <v>463</v>
      </c>
      <c r="Z643" s="1389" t="str">
        <f>C628</f>
        <v>Lease Up Income</v>
      </c>
      <c r="AA643" s="1389"/>
      <c r="AB643" s="1389"/>
      <c r="AC643" s="1389"/>
      <c r="AD643" s="1389"/>
      <c r="AE643" s="1389"/>
      <c r="AF643" s="1389"/>
      <c r="AG643" s="1389"/>
      <c r="AH643" s="1389"/>
      <c r="AI643" s="1389"/>
      <c r="AJ643" s="1389"/>
      <c r="AK643" s="1389"/>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96" t="e">
        <f t="shared" si="2"/>
        <v>#VALUE!</v>
      </c>
      <c r="DY643" s="1496"/>
      <c r="DZ643" s="1496"/>
      <c r="EA643" s="1496"/>
      <c r="EB643" s="1496"/>
      <c r="EC643" s="1496" t="e">
        <f t="shared" si="3"/>
        <v>#VALUE!</v>
      </c>
      <c r="ED643" s="1496"/>
      <c r="EE643" s="1496"/>
      <c r="EF643" s="1496"/>
      <c r="EG643" s="1496"/>
      <c r="EH643" s="1496" t="e">
        <f t="shared" si="4"/>
        <v>#VALUE!</v>
      </c>
      <c r="EI643" s="1496"/>
      <c r="EJ643" s="1496"/>
      <c r="EK643" s="1496"/>
      <c r="EL643" s="1496"/>
      <c r="EM643" s="1496">
        <f t="shared" si="5"/>
        <v>307.14285714285711</v>
      </c>
      <c r="EN643" s="1496"/>
      <c r="EO643" s="1496"/>
      <c r="EP643" s="1496"/>
      <c r="EQ643" s="1496"/>
      <c r="ER643" s="1496" t="e">
        <f t="shared" si="6"/>
        <v>#VALUE!</v>
      </c>
      <c r="ES643" s="1496"/>
      <c r="ET643" s="1496"/>
      <c r="EU643" s="1496"/>
      <c r="EV643" s="1496"/>
      <c r="EW643" s="1496" t="e">
        <f t="shared" si="7"/>
        <v>#VALUE!</v>
      </c>
      <c r="EX643" s="1496"/>
      <c r="EY643" s="1496"/>
      <c r="EZ643" s="1496"/>
      <c r="FA643" s="1496"/>
    </row>
    <row r="644" spans="1:157" ht="12.95" customHeight="1">
      <c r="A644" s="22"/>
      <c r="B644" t="s">
        <v>85</v>
      </c>
      <c r="G644" s="1393" t="s">
        <v>2696</v>
      </c>
      <c r="H644" s="1393"/>
      <c r="I644" s="1393"/>
      <c r="J644" s="1393"/>
      <c r="K644" s="1393"/>
      <c r="L644" s="1393"/>
      <c r="M644" s="1393"/>
      <c r="N644" s="1393"/>
      <c r="O644" s="1393"/>
      <c r="P644" s="1393"/>
      <c r="Q644" s="1393"/>
      <c r="R644" s="1393"/>
      <c r="S644" s="8"/>
      <c r="T644" s="22"/>
      <c r="U644" t="s">
        <v>85</v>
      </c>
      <c r="Z644" s="1393" t="s">
        <v>2626</v>
      </c>
      <c r="AA644" s="1393"/>
      <c r="AB644" s="1393"/>
      <c r="AC644" s="1393"/>
      <c r="AD644" s="1393"/>
      <c r="AE644" s="1393"/>
      <c r="AF644" s="1393"/>
      <c r="AG644" s="1393"/>
      <c r="AH644" s="1393"/>
      <c r="AI644" s="1393"/>
      <c r="AJ644" s="1393"/>
      <c r="AK644" s="1393"/>
      <c r="AV644" s="3"/>
      <c r="AW644" s="3"/>
      <c r="AX644" s="3"/>
      <c r="AY644" s="3"/>
      <c r="AZ644" s="3"/>
      <c r="BA644" s="3"/>
      <c r="BB644" s="3"/>
      <c r="BC644" s="3"/>
      <c r="BD644" s="3"/>
      <c r="BE644" s="3"/>
      <c r="BF644" s="3"/>
      <c r="BG644" s="3"/>
      <c r="BH644" s="3"/>
      <c r="BI644" s="3"/>
      <c r="BJ644" s="3"/>
      <c r="BK644" s="3"/>
      <c r="BL644" s="3"/>
      <c r="BM644" s="3"/>
      <c r="DX644" s="1496" t="e">
        <f t="shared" si="2"/>
        <v>#VALUE!</v>
      </c>
      <c r="DY644" s="1496"/>
      <c r="DZ644" s="1496"/>
      <c r="EA644" s="1496"/>
      <c r="EB644" s="1496"/>
      <c r="EC644" s="1496" t="e">
        <f t="shared" si="3"/>
        <v>#VALUE!</v>
      </c>
      <c r="ED644" s="1496"/>
      <c r="EE644" s="1496"/>
      <c r="EF644" s="1496"/>
      <c r="EG644" s="1496"/>
      <c r="EH644" s="1496" t="e">
        <f t="shared" si="4"/>
        <v>#VALUE!</v>
      </c>
      <c r="EI644" s="1496"/>
      <c r="EJ644" s="1496"/>
      <c r="EK644" s="1496"/>
      <c r="EL644" s="1496"/>
      <c r="EM644" s="1496">
        <f t="shared" si="5"/>
        <v>2580</v>
      </c>
      <c r="EN644" s="1496"/>
      <c r="EO644" s="1496"/>
      <c r="EP644" s="1496"/>
      <c r="EQ644" s="1496"/>
      <c r="ER644" s="1496" t="e">
        <f t="shared" si="6"/>
        <v>#VALUE!</v>
      </c>
      <c r="ES644" s="1496"/>
      <c r="ET644" s="1496"/>
      <c r="EU644" s="1496"/>
      <c r="EV644" s="1496"/>
      <c r="EW644" s="1496" t="e">
        <f t="shared" si="7"/>
        <v>#VALUE!</v>
      </c>
      <c r="EX644" s="1496"/>
      <c r="EY644" s="1496"/>
      <c r="EZ644" s="1496"/>
      <c r="FA644" s="1496"/>
    </row>
    <row r="645" spans="1:157" ht="12.95" customHeight="1">
      <c r="A645" s="22"/>
      <c r="B645" t="s">
        <v>580</v>
      </c>
      <c r="G645" s="1393" t="s">
        <v>2697</v>
      </c>
      <c r="H645" s="1393"/>
      <c r="I645" s="1393"/>
      <c r="J645" s="1393"/>
      <c r="K645" s="1393"/>
      <c r="L645" s="1393"/>
      <c r="M645" s="1393"/>
      <c r="N645" s="1393"/>
      <c r="O645" s="1393"/>
      <c r="P645" s="1393"/>
      <c r="Q645" s="1393"/>
      <c r="R645" s="1393"/>
      <c r="T645" s="22"/>
      <c r="U645" t="s">
        <v>580</v>
      </c>
      <c r="Z645" s="1397" t="s">
        <v>2705</v>
      </c>
      <c r="AA645" s="1397"/>
      <c r="AB645" s="1397"/>
      <c r="AC645" s="1397"/>
      <c r="AD645" s="1397"/>
      <c r="AE645" s="1397"/>
      <c r="AF645" s="1397"/>
      <c r="AG645" s="1397"/>
      <c r="AH645" s="1397"/>
      <c r="AI645" s="1397"/>
      <c r="AJ645" s="1397"/>
      <c r="AK645" s="1397"/>
      <c r="AV645" s="3"/>
      <c r="AW645" s="3"/>
      <c r="AX645" s="3"/>
      <c r="AY645" s="3"/>
      <c r="AZ645" s="3"/>
      <c r="BA645" s="3"/>
      <c r="BB645" s="3"/>
      <c r="BC645" s="3"/>
      <c r="BD645" s="3"/>
      <c r="BE645" s="3"/>
      <c r="BF645" s="3"/>
      <c r="BG645" s="3"/>
      <c r="BH645" s="3"/>
      <c r="BI645" s="3"/>
      <c r="BJ645" s="3"/>
      <c r="BK645" s="3"/>
      <c r="BL645" s="3"/>
      <c r="BM645" s="3"/>
      <c r="DX645" s="1496" t="e">
        <f t="shared" si="2"/>
        <v>#VALUE!</v>
      </c>
      <c r="DY645" s="1496"/>
      <c r="DZ645" s="1496"/>
      <c r="EA645" s="1496"/>
      <c r="EB645" s="1496"/>
      <c r="EC645" s="1496" t="e">
        <f t="shared" si="3"/>
        <v>#VALUE!</v>
      </c>
      <c r="ED645" s="1496"/>
      <c r="EE645" s="1496"/>
      <c r="EF645" s="1496"/>
      <c r="EG645" s="1496"/>
      <c r="EH645" s="1496" t="e">
        <f t="shared" si="4"/>
        <v>#VALUE!</v>
      </c>
      <c r="EI645" s="1496"/>
      <c r="EJ645" s="1496"/>
      <c r="EK645" s="1496"/>
      <c r="EL645" s="1496"/>
      <c r="EM645" s="1496" t="e">
        <f t="shared" si="5"/>
        <v>#VALUE!</v>
      </c>
      <c r="EN645" s="1496"/>
      <c r="EO645" s="1496"/>
      <c r="EP645" s="1496"/>
      <c r="EQ645" s="1496"/>
      <c r="ER645" s="1496" t="e">
        <f t="shared" si="6"/>
        <v>#VALUE!</v>
      </c>
      <c r="ES645" s="1496"/>
      <c r="ET645" s="1496"/>
      <c r="EU645" s="1496"/>
      <c r="EV645" s="1496"/>
      <c r="EW645" s="1496" t="e">
        <f t="shared" si="7"/>
        <v>#VALUE!</v>
      </c>
      <c r="EX645" s="1496"/>
      <c r="EY645" s="1496"/>
      <c r="EZ645" s="1496"/>
      <c r="FA645" s="1496"/>
    </row>
    <row r="646" spans="1:157" ht="12.95" customHeight="1">
      <c r="A646" s="22"/>
      <c r="B646" t="s">
        <v>17</v>
      </c>
      <c r="G646" s="1393" t="s">
        <v>2698</v>
      </c>
      <c r="H646" s="1393"/>
      <c r="I646" s="1393"/>
      <c r="J646" s="1393"/>
      <c r="K646" s="1393"/>
      <c r="L646" s="1393"/>
      <c r="M646" s="1393"/>
      <c r="N646" s="1393"/>
      <c r="O646" s="1393"/>
      <c r="P646" s="1393"/>
      <c r="Q646" s="1393"/>
      <c r="R646" s="1393"/>
      <c r="S646" s="8"/>
      <c r="T646" s="22"/>
      <c r="U646" t="s">
        <v>17</v>
      </c>
      <c r="Z646" s="1397" t="s">
        <v>2612</v>
      </c>
      <c r="AA646" s="1397"/>
      <c r="AB646" s="1397"/>
      <c r="AC646" s="1397"/>
      <c r="AD646" s="1397"/>
      <c r="AE646" s="1397"/>
      <c r="AF646" s="1397"/>
      <c r="AG646" s="1397"/>
      <c r="AH646" s="1397"/>
      <c r="AI646" s="1397"/>
      <c r="AJ646" s="1397"/>
      <c r="AK646" s="1397"/>
      <c r="AZ646" s="3"/>
      <c r="BA646" s="3"/>
      <c r="BB646" s="3"/>
      <c r="BC646" s="3"/>
      <c r="BD646" s="3"/>
      <c r="BE646" s="3"/>
      <c r="BF646" s="3"/>
      <c r="BG646" s="3"/>
      <c r="BH646" s="3"/>
      <c r="BI646" s="3"/>
      <c r="BJ646" s="3"/>
      <c r="BK646" s="3"/>
      <c r="BL646" s="3"/>
      <c r="BM646" s="3"/>
      <c r="DX646" s="1496" t="e">
        <f t="shared" si="2"/>
        <v>#VALUE!</v>
      </c>
      <c r="DY646" s="1496"/>
      <c r="DZ646" s="1496"/>
      <c r="EA646" s="1496"/>
      <c r="EB646" s="1496"/>
      <c r="EC646" s="1496" t="e">
        <f t="shared" si="3"/>
        <v>#VALUE!</v>
      </c>
      <c r="ED646" s="1496"/>
      <c r="EE646" s="1496"/>
      <c r="EF646" s="1496"/>
      <c r="EG646" s="1496"/>
      <c r="EH646" s="1496" t="e">
        <f t="shared" si="4"/>
        <v>#VALUE!</v>
      </c>
      <c r="EI646" s="1496"/>
      <c r="EJ646" s="1496"/>
      <c r="EK646" s="1496"/>
      <c r="EL646" s="1496"/>
      <c r="EM646" s="1496" t="e">
        <f t="shared" si="5"/>
        <v>#VALUE!</v>
      </c>
      <c r="EN646" s="1496"/>
      <c r="EO646" s="1496"/>
      <c r="EP646" s="1496"/>
      <c r="EQ646" s="1496"/>
      <c r="ER646" s="1496" t="e">
        <f t="shared" si="6"/>
        <v>#VALUE!</v>
      </c>
      <c r="ES646" s="1496"/>
      <c r="ET646" s="1496"/>
      <c r="EU646" s="1496"/>
      <c r="EV646" s="1496"/>
      <c r="EW646" s="1496" t="e">
        <f t="shared" si="7"/>
        <v>#VALUE!</v>
      </c>
      <c r="EX646" s="1496"/>
      <c r="EY646" s="1496"/>
      <c r="EZ646" s="1496"/>
      <c r="FA646" s="1496"/>
    </row>
    <row r="647" spans="1:157" ht="12.95" customHeight="1">
      <c r="A647" s="22"/>
      <c r="B647" t="s">
        <v>315</v>
      </c>
      <c r="G647" s="1505" t="s">
        <v>2699</v>
      </c>
      <c r="H647" s="1505"/>
      <c r="I647" s="1505"/>
      <c r="J647" s="1505"/>
      <c r="K647" s="1505"/>
      <c r="L647" s="1505"/>
      <c r="O647" s="33" t="s">
        <v>205</v>
      </c>
      <c r="P647" s="1483"/>
      <c r="Q647" s="1483"/>
      <c r="R647" s="1483"/>
      <c r="S647" s="10"/>
      <c r="T647" s="22"/>
      <c r="U647" t="s">
        <v>315</v>
      </c>
      <c r="Z647" s="1505" t="s">
        <v>2647</v>
      </c>
      <c r="AA647" s="1505"/>
      <c r="AB647" s="1505"/>
      <c r="AC647" s="1505"/>
      <c r="AD647" s="1505"/>
      <c r="AE647" s="1505"/>
      <c r="AH647" s="33" t="s">
        <v>205</v>
      </c>
      <c r="AI647" s="1483"/>
      <c r="AJ647" s="1483"/>
      <c r="AK647" s="1483"/>
      <c r="AZ647" s="34"/>
      <c r="BA647" s="34"/>
      <c r="BB647" s="34"/>
      <c r="BC647" s="34"/>
      <c r="BD647" s="34"/>
      <c r="BE647" s="34"/>
      <c r="BF647" s="34"/>
      <c r="BG647" s="34"/>
      <c r="BH647" s="34"/>
      <c r="BI647" s="34"/>
      <c r="BJ647" s="34"/>
      <c r="BK647" s="34"/>
      <c r="BL647" s="34"/>
      <c r="BM647" s="34"/>
      <c r="DX647" s="1496" t="e">
        <f t="shared" si="2"/>
        <v>#VALUE!</v>
      </c>
      <c r="DY647" s="1496"/>
      <c r="DZ647" s="1496"/>
      <c r="EA647" s="1496"/>
      <c r="EB647" s="1496"/>
      <c r="EC647" s="1496" t="e">
        <f t="shared" si="3"/>
        <v>#VALUE!</v>
      </c>
      <c r="ED647" s="1496"/>
      <c r="EE647" s="1496"/>
      <c r="EF647" s="1496"/>
      <c r="EG647" s="1496"/>
      <c r="EH647" s="1496" t="e">
        <f t="shared" si="4"/>
        <v>#VALUE!</v>
      </c>
      <c r="EI647" s="1496"/>
      <c r="EJ647" s="1496"/>
      <c r="EK647" s="1496"/>
      <c r="EL647" s="1496"/>
      <c r="EM647" s="1496" t="e">
        <f t="shared" si="5"/>
        <v>#VALUE!</v>
      </c>
      <c r="EN647" s="1496"/>
      <c r="EO647" s="1496"/>
      <c r="EP647" s="1496"/>
      <c r="EQ647" s="1496"/>
      <c r="ER647" s="1496" t="e">
        <f t="shared" si="6"/>
        <v>#VALUE!</v>
      </c>
      <c r="ES647" s="1496"/>
      <c r="ET647" s="1496"/>
      <c r="EU647" s="1496"/>
      <c r="EV647" s="1496"/>
      <c r="EW647" s="1496" t="e">
        <f t="shared" si="7"/>
        <v>#VALUE!</v>
      </c>
      <c r="EX647" s="1496"/>
      <c r="EY647" s="1496"/>
      <c r="EZ647" s="1496"/>
      <c r="FA647" s="1496"/>
    </row>
    <row r="648" spans="1:157" ht="12.95" customHeight="1">
      <c r="A648" s="22"/>
      <c r="B648" t="s">
        <v>18</v>
      </c>
      <c r="H648" s="1393" t="s">
        <v>2709</v>
      </c>
      <c r="I648" s="1393"/>
      <c r="J648" s="1393"/>
      <c r="K648" s="1393"/>
      <c r="L648" s="1393"/>
      <c r="M648" s="1393"/>
      <c r="N648" s="1393"/>
      <c r="O648" s="1393"/>
      <c r="P648" s="1393"/>
      <c r="Q648" s="1393"/>
      <c r="R648" s="1393"/>
      <c r="S648" s="8"/>
      <c r="T648" s="22"/>
      <c r="U648" t="s">
        <v>18</v>
      </c>
      <c r="AA648" s="1393" t="s">
        <v>2706</v>
      </c>
      <c r="AB648" s="1393"/>
      <c r="AC648" s="1393"/>
      <c r="AD648" s="1393"/>
      <c r="AE648" s="1393"/>
      <c r="AF648" s="1393"/>
      <c r="AG648" s="1393"/>
      <c r="AH648" s="1393"/>
      <c r="AI648" s="1393"/>
      <c r="AJ648" s="1393"/>
      <c r="AK648" s="1393"/>
      <c r="AZ648" s="34"/>
      <c r="BA648" s="34"/>
      <c r="BB648" s="34"/>
      <c r="BC648" s="34"/>
      <c r="BD648" s="34"/>
      <c r="BE648" s="34"/>
      <c r="BF648" s="34"/>
      <c r="BG648" s="34"/>
      <c r="BH648" s="34"/>
      <c r="BI648" s="34"/>
      <c r="BJ648" s="34"/>
      <c r="BK648" s="34"/>
      <c r="BL648" s="34"/>
      <c r="BM648" s="34"/>
      <c r="DX648" s="1496" t="e">
        <f t="shared" si="2"/>
        <v>#VALUE!</v>
      </c>
      <c r="DY648" s="1496"/>
      <c r="DZ648" s="1496"/>
      <c r="EA648" s="1496"/>
      <c r="EB648" s="1496"/>
      <c r="EC648" s="1496" t="e">
        <f t="shared" si="3"/>
        <v>#VALUE!</v>
      </c>
      <c r="ED648" s="1496"/>
      <c r="EE648" s="1496"/>
      <c r="EF648" s="1496"/>
      <c r="EG648" s="1496"/>
      <c r="EH648" s="1496" t="e">
        <f t="shared" si="4"/>
        <v>#VALUE!</v>
      </c>
      <c r="EI648" s="1496"/>
      <c r="EJ648" s="1496"/>
      <c r="EK648" s="1496"/>
      <c r="EL648" s="1496"/>
      <c r="EM648" s="1496" t="e">
        <f t="shared" si="5"/>
        <v>#VALUE!</v>
      </c>
      <c r="EN648" s="1496"/>
      <c r="EO648" s="1496"/>
      <c r="EP648" s="1496"/>
      <c r="EQ648" s="1496"/>
      <c r="ER648" s="1496" t="e">
        <f t="shared" si="6"/>
        <v>#VALUE!</v>
      </c>
      <c r="ES648" s="1496"/>
      <c r="ET648" s="1496"/>
      <c r="EU648" s="1496"/>
      <c r="EV648" s="1496"/>
      <c r="EW648" s="1496" t="e">
        <f t="shared" si="7"/>
        <v>#VALUE!</v>
      </c>
      <c r="EX648" s="1496"/>
      <c r="EY648" s="1496"/>
      <c r="EZ648" s="1496"/>
      <c r="FA648" s="1496"/>
    </row>
    <row r="649" spans="1:157" ht="12.95" customHeight="1">
      <c r="A649" s="22"/>
      <c r="B649" t="s">
        <v>20</v>
      </c>
      <c r="N649" s="1379" t="s">
        <v>545</v>
      </c>
      <c r="O649" s="1379"/>
      <c r="T649" s="22"/>
      <c r="U649" t="s">
        <v>20</v>
      </c>
      <c r="AG649" s="1379" t="s">
        <v>545</v>
      </c>
      <c r="AH649" s="1379"/>
      <c r="AZ649" s="34"/>
      <c r="BA649" s="34"/>
      <c r="BB649" s="34"/>
      <c r="BC649" s="34"/>
      <c r="BD649" s="34"/>
      <c r="BE649" s="34"/>
      <c r="BF649" s="34"/>
      <c r="BG649" s="34"/>
      <c r="BH649" s="34"/>
      <c r="BI649" s="34"/>
      <c r="BJ649" s="34"/>
      <c r="BK649" s="34"/>
      <c r="BL649" s="34"/>
      <c r="BM649" s="34"/>
      <c r="DX649" s="1496" t="e">
        <f t="shared" si="2"/>
        <v>#VALUE!</v>
      </c>
      <c r="DY649" s="1496"/>
      <c r="DZ649" s="1496"/>
      <c r="EA649" s="1496"/>
      <c r="EB649" s="1496"/>
      <c r="EC649" s="1496" t="e">
        <f t="shared" si="3"/>
        <v>#VALUE!</v>
      </c>
      <c r="ED649" s="1496"/>
      <c r="EE649" s="1496"/>
      <c r="EF649" s="1496"/>
      <c r="EG649" s="1496"/>
      <c r="EH649" s="1496" t="e">
        <f t="shared" si="4"/>
        <v>#VALUE!</v>
      </c>
      <c r="EI649" s="1496"/>
      <c r="EJ649" s="1496"/>
      <c r="EK649" s="1496"/>
      <c r="EL649" s="1496"/>
      <c r="EM649" s="1496" t="e">
        <f t="shared" si="5"/>
        <v>#VALUE!</v>
      </c>
      <c r="EN649" s="1496"/>
      <c r="EO649" s="1496"/>
      <c r="EP649" s="1496"/>
      <c r="EQ649" s="1496"/>
      <c r="ER649" s="1496" t="e">
        <f t="shared" si="6"/>
        <v>#VALUE!</v>
      </c>
      <c r="ES649" s="1496"/>
      <c r="ET649" s="1496"/>
      <c r="EU649" s="1496"/>
      <c r="EV649" s="1496"/>
      <c r="EW649" s="1496" t="e">
        <f t="shared" si="7"/>
        <v>#VALUE!</v>
      </c>
      <c r="EX649" s="1496"/>
      <c r="EY649" s="1496"/>
      <c r="EZ649" s="1496"/>
      <c r="FA649" s="1496"/>
    </row>
    <row r="650" spans="1:157" ht="12.95" customHeight="1">
      <c r="A650" s="22"/>
      <c r="T650" s="22"/>
      <c r="AZ650" s="34"/>
      <c r="BA650" s="34"/>
      <c r="BB650" s="34"/>
      <c r="BC650" s="34"/>
      <c r="BD650" s="34"/>
      <c r="BE650" s="34"/>
      <c r="BF650" s="34"/>
      <c r="BG650" s="34"/>
      <c r="BH650" s="34"/>
      <c r="BI650" s="34"/>
      <c r="BJ650" s="34"/>
      <c r="BK650" s="34"/>
      <c r="BL650" s="34"/>
      <c r="BM650" s="34"/>
      <c r="DX650" s="1496" t="e">
        <f t="shared" si="2"/>
        <v>#VALUE!</v>
      </c>
      <c r="DY650" s="1496"/>
      <c r="DZ650" s="1496"/>
      <c r="EA650" s="1496"/>
      <c r="EB650" s="1496"/>
      <c r="EC650" s="1496" t="e">
        <f t="shared" si="3"/>
        <v>#VALUE!</v>
      </c>
      <c r="ED650" s="1496"/>
      <c r="EE650" s="1496"/>
      <c r="EF650" s="1496"/>
      <c r="EG650" s="1496"/>
      <c r="EH650" s="1496" t="e">
        <f t="shared" si="4"/>
        <v>#VALUE!</v>
      </c>
      <c r="EI650" s="1496"/>
      <c r="EJ650" s="1496"/>
      <c r="EK650" s="1496"/>
      <c r="EL650" s="1496"/>
      <c r="EM650" s="1496" t="e">
        <f t="shared" si="5"/>
        <v>#VALUE!</v>
      </c>
      <c r="EN650" s="1496"/>
      <c r="EO650" s="1496"/>
      <c r="EP650" s="1496"/>
      <c r="EQ650" s="1496"/>
      <c r="ER650" s="1496" t="e">
        <f t="shared" si="6"/>
        <v>#VALUE!</v>
      </c>
      <c r="ES650" s="1496"/>
      <c r="ET650" s="1496"/>
      <c r="EU650" s="1496"/>
      <c r="EV650" s="1496"/>
      <c r="EW650" s="1496" t="e">
        <f t="shared" si="7"/>
        <v>#VALUE!</v>
      </c>
      <c r="EX650" s="1496"/>
      <c r="EY650" s="1496"/>
      <c r="EZ650" s="1496"/>
      <c r="FA650" s="1496"/>
    </row>
    <row r="651" spans="1:157" ht="12.95" customHeight="1">
      <c r="A651" s="55" t="s">
        <v>119</v>
      </c>
      <c r="B651" t="s">
        <v>463</v>
      </c>
      <c r="G651" s="1389" t="str">
        <f>C629</f>
        <v>Deferred Developer Fee</v>
      </c>
      <c r="H651" s="1389"/>
      <c r="I651" s="1389"/>
      <c r="J651" s="1389"/>
      <c r="K651" s="1389"/>
      <c r="L651" s="1389"/>
      <c r="M651" s="1389"/>
      <c r="N651" s="1389"/>
      <c r="O651" s="1389"/>
      <c r="P651" s="1389"/>
      <c r="Q651" s="1389"/>
      <c r="R651" s="1389"/>
      <c r="T651" s="55" t="s">
        <v>581</v>
      </c>
      <c r="U651" t="s">
        <v>463</v>
      </c>
      <c r="Z651" s="1389">
        <f>C630</f>
        <v>0</v>
      </c>
      <c r="AA651" s="1389"/>
      <c r="AB651" s="1389"/>
      <c r="AC651" s="1389"/>
      <c r="AD651" s="1389"/>
      <c r="AE651" s="1389"/>
      <c r="AF651" s="1389"/>
      <c r="AG651" s="1389"/>
      <c r="AH651" s="1389"/>
      <c r="AI651" s="1389"/>
      <c r="AJ651" s="1389"/>
      <c r="AK651" s="1389"/>
      <c r="AZ651" s="34"/>
      <c r="BA651" s="34"/>
      <c r="BB651" s="34"/>
      <c r="BC651" s="34"/>
      <c r="BD651" s="34"/>
      <c r="BE651" s="34"/>
      <c r="BF651" s="34"/>
      <c r="BG651" s="34"/>
      <c r="BH651" s="34"/>
      <c r="BI651" s="34"/>
      <c r="BJ651" s="34"/>
      <c r="BK651" s="34"/>
      <c r="BL651" s="34"/>
      <c r="BM651" s="34"/>
      <c r="DX651" s="1496" t="e">
        <f t="shared" si="2"/>
        <v>#VALUE!</v>
      </c>
      <c r="DY651" s="1496"/>
      <c r="DZ651" s="1496"/>
      <c r="EA651" s="1496"/>
      <c r="EB651" s="1496"/>
      <c r="EC651" s="1496" t="e">
        <f t="shared" si="3"/>
        <v>#VALUE!</v>
      </c>
      <c r="ED651" s="1496"/>
      <c r="EE651" s="1496"/>
      <c r="EF651" s="1496"/>
      <c r="EG651" s="1496"/>
      <c r="EH651" s="1496" t="e">
        <f t="shared" si="4"/>
        <v>#VALUE!</v>
      </c>
      <c r="EI651" s="1496"/>
      <c r="EJ651" s="1496"/>
      <c r="EK651" s="1496"/>
      <c r="EL651" s="1496"/>
      <c r="EM651" s="1496" t="e">
        <f t="shared" si="5"/>
        <v>#VALUE!</v>
      </c>
      <c r="EN651" s="1496"/>
      <c r="EO651" s="1496"/>
      <c r="EP651" s="1496"/>
      <c r="EQ651" s="1496"/>
      <c r="ER651" s="1496" t="e">
        <f t="shared" si="6"/>
        <v>#VALUE!</v>
      </c>
      <c r="ES651" s="1496"/>
      <c r="ET651" s="1496"/>
      <c r="EU651" s="1496"/>
      <c r="EV651" s="1496"/>
      <c r="EW651" s="1496" t="e">
        <f t="shared" si="7"/>
        <v>#VALUE!</v>
      </c>
      <c r="EX651" s="1496"/>
      <c r="EY651" s="1496"/>
      <c r="EZ651" s="1496"/>
      <c r="FA651" s="1496"/>
    </row>
    <row r="652" spans="1:157" ht="12.95" customHeight="1">
      <c r="A652" s="22"/>
      <c r="B652" t="s">
        <v>85</v>
      </c>
      <c r="G652" s="1393" t="s">
        <v>2626</v>
      </c>
      <c r="H652" s="1393"/>
      <c r="I652" s="1393"/>
      <c r="J652" s="1393"/>
      <c r="K652" s="1393"/>
      <c r="L652" s="1393"/>
      <c r="M652" s="1393"/>
      <c r="N652" s="1393"/>
      <c r="O652" s="1393"/>
      <c r="P652" s="1393"/>
      <c r="Q652" s="1393"/>
      <c r="R652" s="1393"/>
      <c r="T652" s="22"/>
      <c r="U652" t="s">
        <v>85</v>
      </c>
      <c r="Z652" s="1393"/>
      <c r="AA652" s="1393"/>
      <c r="AB652" s="1393"/>
      <c r="AC652" s="1393"/>
      <c r="AD652" s="1393"/>
      <c r="AE652" s="1393"/>
      <c r="AF652" s="1393"/>
      <c r="AG652" s="1393"/>
      <c r="AH652" s="1393"/>
      <c r="AI652" s="1393"/>
      <c r="AJ652" s="1393"/>
      <c r="AK652" s="1393"/>
      <c r="AZ652" s="34"/>
      <c r="BA652" s="34"/>
      <c r="BB652" s="34"/>
      <c r="BC652" s="34"/>
      <c r="BD652" s="34"/>
      <c r="BE652" s="34"/>
      <c r="BF652" s="34"/>
      <c r="BG652" s="34"/>
      <c r="BH652" s="34"/>
      <c r="BI652" s="34"/>
      <c r="BJ652" s="34"/>
      <c r="BK652" s="34"/>
      <c r="BL652" s="34"/>
      <c r="BM652" s="34"/>
      <c r="DX652" s="1496" t="e">
        <f t="shared" si="2"/>
        <v>#VALUE!</v>
      </c>
      <c r="DY652" s="1496"/>
      <c r="DZ652" s="1496"/>
      <c r="EA652" s="1496"/>
      <c r="EB652" s="1496"/>
      <c r="EC652" s="1496" t="e">
        <f t="shared" si="3"/>
        <v>#VALUE!</v>
      </c>
      <c r="ED652" s="1496"/>
      <c r="EE652" s="1496"/>
      <c r="EF652" s="1496"/>
      <c r="EG652" s="1496"/>
      <c r="EH652" s="1496" t="e">
        <f t="shared" si="4"/>
        <v>#VALUE!</v>
      </c>
      <c r="EI652" s="1496"/>
      <c r="EJ652" s="1496"/>
      <c r="EK652" s="1496"/>
      <c r="EL652" s="1496"/>
      <c r="EM652" s="1496" t="e">
        <f t="shared" si="5"/>
        <v>#VALUE!</v>
      </c>
      <c r="EN652" s="1496"/>
      <c r="EO652" s="1496"/>
      <c r="EP652" s="1496"/>
      <c r="EQ652" s="1496"/>
      <c r="ER652" s="1496" t="e">
        <f t="shared" si="6"/>
        <v>#VALUE!</v>
      </c>
      <c r="ES652" s="1496"/>
      <c r="ET652" s="1496"/>
      <c r="EU652" s="1496"/>
      <c r="EV652" s="1496"/>
      <c r="EW652" s="1496" t="e">
        <f t="shared" si="7"/>
        <v>#VALUE!</v>
      </c>
      <c r="EX652" s="1496"/>
      <c r="EY652" s="1496"/>
      <c r="EZ652" s="1496"/>
      <c r="FA652" s="1496"/>
    </row>
    <row r="653" spans="1:157" ht="12.95" customHeight="1">
      <c r="A653" s="22"/>
      <c r="B653" t="s">
        <v>580</v>
      </c>
      <c r="G653" s="1397" t="s">
        <v>2705</v>
      </c>
      <c r="H653" s="1397"/>
      <c r="I653" s="1397"/>
      <c r="J653" s="1397"/>
      <c r="K653" s="1397"/>
      <c r="L653" s="1397"/>
      <c r="M653" s="1397"/>
      <c r="N653" s="1397"/>
      <c r="O653" s="1397"/>
      <c r="P653" s="1397"/>
      <c r="Q653" s="1397"/>
      <c r="R653" s="1397"/>
      <c r="T653" s="22"/>
      <c r="U653" t="s">
        <v>580</v>
      </c>
      <c r="Z653" s="1397"/>
      <c r="AA653" s="1397"/>
      <c r="AB653" s="1397"/>
      <c r="AC653" s="1397"/>
      <c r="AD653" s="1397"/>
      <c r="AE653" s="1397"/>
      <c r="AF653" s="1397"/>
      <c r="AG653" s="1397"/>
      <c r="AH653" s="1397"/>
      <c r="AI653" s="1397"/>
      <c r="AJ653" s="1397"/>
      <c r="AK653" s="1397"/>
      <c r="AZ653" s="34"/>
      <c r="BA653" s="34"/>
      <c r="BB653" s="34"/>
      <c r="BC653" s="34"/>
      <c r="BD653" s="34"/>
      <c r="BE653" s="34"/>
      <c r="BF653" s="34"/>
      <c r="BG653" s="34"/>
      <c r="BH653" s="34"/>
      <c r="BI653" s="34"/>
      <c r="BJ653" s="34"/>
      <c r="BK653" s="34"/>
      <c r="BL653" s="34"/>
      <c r="BM653" s="34"/>
      <c r="DX653" s="1496" t="e">
        <f t="shared" si="2"/>
        <v>#VALUE!</v>
      </c>
      <c r="DY653" s="1496"/>
      <c r="DZ653" s="1496"/>
      <c r="EA653" s="1496"/>
      <c r="EB653" s="1496"/>
      <c r="EC653" s="1496" t="e">
        <f t="shared" si="3"/>
        <v>#VALUE!</v>
      </c>
      <c r="ED653" s="1496"/>
      <c r="EE653" s="1496"/>
      <c r="EF653" s="1496"/>
      <c r="EG653" s="1496"/>
      <c r="EH653" s="1496" t="e">
        <f t="shared" si="4"/>
        <v>#VALUE!</v>
      </c>
      <c r="EI653" s="1496"/>
      <c r="EJ653" s="1496"/>
      <c r="EK653" s="1496"/>
      <c r="EL653" s="1496"/>
      <c r="EM653" s="1496" t="e">
        <f t="shared" si="5"/>
        <v>#VALUE!</v>
      </c>
      <c r="EN653" s="1496"/>
      <c r="EO653" s="1496"/>
      <c r="EP653" s="1496"/>
      <c r="EQ653" s="1496"/>
      <c r="ER653" s="1496" t="e">
        <f t="shared" si="6"/>
        <v>#VALUE!</v>
      </c>
      <c r="ES653" s="1496"/>
      <c r="ET653" s="1496"/>
      <c r="EU653" s="1496"/>
      <c r="EV653" s="1496"/>
      <c r="EW653" s="1496" t="e">
        <f t="shared" si="7"/>
        <v>#VALUE!</v>
      </c>
      <c r="EX653" s="1496"/>
      <c r="EY653" s="1496"/>
      <c r="EZ653" s="1496"/>
      <c r="FA653" s="1496"/>
    </row>
    <row r="654" spans="1:157" ht="12.95" customHeight="1">
      <c r="A654" s="22"/>
      <c r="B654" t="s">
        <v>17</v>
      </c>
      <c r="G654" s="1397" t="s">
        <v>2612</v>
      </c>
      <c r="H654" s="1397"/>
      <c r="I654" s="1397"/>
      <c r="J654" s="1397"/>
      <c r="K654" s="1397"/>
      <c r="L654" s="1397"/>
      <c r="M654" s="1397"/>
      <c r="N654" s="1397"/>
      <c r="O654" s="1397"/>
      <c r="P654" s="1397"/>
      <c r="Q654" s="1397"/>
      <c r="R654" s="1397"/>
      <c r="T654" s="22"/>
      <c r="U654" t="s">
        <v>17</v>
      </c>
      <c r="Z654" s="1397"/>
      <c r="AA654" s="1397"/>
      <c r="AB654" s="1397"/>
      <c r="AC654" s="1397"/>
      <c r="AD654" s="1397"/>
      <c r="AE654" s="1397"/>
      <c r="AF654" s="1397"/>
      <c r="AG654" s="1397"/>
      <c r="AH654" s="1397"/>
      <c r="AI654" s="1397"/>
      <c r="AJ654" s="1397"/>
      <c r="AK654" s="1397"/>
      <c r="AZ654" s="34"/>
      <c r="BA654" s="34"/>
      <c r="BB654" s="34"/>
      <c r="BC654" s="34"/>
      <c r="BD654" s="34"/>
      <c r="BE654" s="34"/>
      <c r="BF654" s="34"/>
      <c r="BG654" s="34"/>
      <c r="BH654" s="34"/>
      <c r="BI654" s="34"/>
      <c r="BJ654" s="34"/>
      <c r="BK654" s="34"/>
      <c r="BL654" s="34"/>
      <c r="BM654" s="34"/>
      <c r="DX654" s="1496" t="e">
        <f t="shared" si="2"/>
        <v>#VALUE!</v>
      </c>
      <c r="DY654" s="1496"/>
      <c r="DZ654" s="1496"/>
      <c r="EA654" s="1496"/>
      <c r="EB654" s="1496"/>
      <c r="EC654" s="1496" t="e">
        <f t="shared" si="3"/>
        <v>#VALUE!</v>
      </c>
      <c r="ED654" s="1496"/>
      <c r="EE654" s="1496"/>
      <c r="EF654" s="1496"/>
      <c r="EG654" s="1496"/>
      <c r="EH654" s="1496" t="e">
        <f t="shared" si="4"/>
        <v>#VALUE!</v>
      </c>
      <c r="EI654" s="1496"/>
      <c r="EJ654" s="1496"/>
      <c r="EK654" s="1496"/>
      <c r="EL654" s="1496"/>
      <c r="EM654" s="1496" t="e">
        <f t="shared" si="5"/>
        <v>#VALUE!</v>
      </c>
      <c r="EN654" s="1496"/>
      <c r="EO654" s="1496"/>
      <c r="EP654" s="1496"/>
      <c r="EQ654" s="1496"/>
      <c r="ER654" s="1496" t="e">
        <f t="shared" si="6"/>
        <v>#VALUE!</v>
      </c>
      <c r="ES654" s="1496"/>
      <c r="ET654" s="1496"/>
      <c r="EU654" s="1496"/>
      <c r="EV654" s="1496"/>
      <c r="EW654" s="1496" t="e">
        <f t="shared" si="7"/>
        <v>#VALUE!</v>
      </c>
      <c r="EX654" s="1496"/>
      <c r="EY654" s="1496"/>
      <c r="EZ654" s="1496"/>
      <c r="FA654" s="1496"/>
    </row>
    <row r="655" spans="1:157" ht="12.95" customHeight="1">
      <c r="A655" s="22"/>
      <c r="B655" t="s">
        <v>315</v>
      </c>
      <c r="G655" s="1505" t="s">
        <v>2647</v>
      </c>
      <c r="H655" s="1505"/>
      <c r="I655" s="1505"/>
      <c r="J655" s="1505"/>
      <c r="K655" s="1505"/>
      <c r="L655" s="1505"/>
      <c r="O655" s="33" t="s">
        <v>205</v>
      </c>
      <c r="P655" s="1483"/>
      <c r="Q655" s="1483"/>
      <c r="R655" s="1483"/>
      <c r="T655" s="22"/>
      <c r="U655" t="s">
        <v>315</v>
      </c>
      <c r="Z655" s="1505"/>
      <c r="AA655" s="1505"/>
      <c r="AB655" s="1505"/>
      <c r="AC655" s="1505"/>
      <c r="AD655" s="1505"/>
      <c r="AE655" s="1505"/>
      <c r="AH655" s="33" t="s">
        <v>205</v>
      </c>
      <c r="AI655" s="1483"/>
      <c r="AJ655" s="1483"/>
      <c r="AK655" s="1483"/>
      <c r="AZ655" s="34"/>
      <c r="BA655" s="34"/>
      <c r="BB655" s="34"/>
      <c r="BC655" s="34"/>
      <c r="BD655" s="34"/>
      <c r="BE655" s="34"/>
      <c r="BF655" s="34"/>
      <c r="BG655" s="34"/>
      <c r="BH655" s="34"/>
      <c r="BI655" s="34"/>
      <c r="BJ655" s="34"/>
      <c r="BK655" s="34"/>
      <c r="BL655" s="34"/>
      <c r="BM655" s="34"/>
      <c r="DX655" s="1496" t="e">
        <f t="shared" si="2"/>
        <v>#VALUE!</v>
      </c>
      <c r="DY655" s="1496"/>
      <c r="DZ655" s="1496"/>
      <c r="EA655" s="1496"/>
      <c r="EB655" s="1496"/>
      <c r="EC655" s="1496" t="e">
        <f t="shared" si="3"/>
        <v>#VALUE!</v>
      </c>
      <c r="ED655" s="1496"/>
      <c r="EE655" s="1496"/>
      <c r="EF655" s="1496"/>
      <c r="EG655" s="1496"/>
      <c r="EH655" s="1496" t="e">
        <f t="shared" si="4"/>
        <v>#VALUE!</v>
      </c>
      <c r="EI655" s="1496"/>
      <c r="EJ655" s="1496"/>
      <c r="EK655" s="1496"/>
      <c r="EL655" s="1496"/>
      <c r="EM655" s="1496" t="e">
        <f t="shared" si="5"/>
        <v>#VALUE!</v>
      </c>
      <c r="EN655" s="1496"/>
      <c r="EO655" s="1496"/>
      <c r="EP655" s="1496"/>
      <c r="EQ655" s="1496"/>
      <c r="ER655" s="1496" t="e">
        <f t="shared" si="6"/>
        <v>#VALUE!</v>
      </c>
      <c r="ES655" s="1496"/>
      <c r="ET655" s="1496"/>
      <c r="EU655" s="1496"/>
      <c r="EV655" s="1496"/>
      <c r="EW655" s="1496" t="e">
        <f t="shared" si="7"/>
        <v>#VALUE!</v>
      </c>
      <c r="EX655" s="1496"/>
      <c r="EY655" s="1496"/>
      <c r="EZ655" s="1496"/>
      <c r="FA655" s="1496"/>
    </row>
    <row r="656" spans="1:157" ht="12.95" customHeight="1">
      <c r="A656" s="22"/>
      <c r="B656" t="s">
        <v>18</v>
      </c>
      <c r="H656" s="1393" t="s">
        <v>2320</v>
      </c>
      <c r="I656" s="1393"/>
      <c r="J656" s="1393"/>
      <c r="K656" s="1393"/>
      <c r="L656" s="1393"/>
      <c r="M656" s="1393"/>
      <c r="N656" s="1393"/>
      <c r="O656" s="1393"/>
      <c r="P656" s="1393"/>
      <c r="Q656" s="1393"/>
      <c r="R656" s="1393"/>
      <c r="T656" s="22"/>
      <c r="U656" t="s">
        <v>18</v>
      </c>
      <c r="AA656" s="1462"/>
      <c r="AB656" s="1393"/>
      <c r="AC656" s="1393"/>
      <c r="AD656" s="1393"/>
      <c r="AE656" s="1393"/>
      <c r="AF656" s="1393"/>
      <c r="AG656" s="1393"/>
      <c r="AH656" s="1393"/>
      <c r="AI656" s="1393"/>
      <c r="AJ656" s="1393"/>
      <c r="AK656" s="1393"/>
      <c r="AZ656" s="34"/>
      <c r="BA656" s="34"/>
      <c r="BB656" s="34"/>
      <c r="BC656" s="34"/>
      <c r="BD656" s="34"/>
      <c r="BE656" s="34"/>
      <c r="BF656" s="34"/>
      <c r="BG656" s="34"/>
      <c r="BH656" s="34"/>
      <c r="BI656" s="34"/>
      <c r="BJ656" s="34"/>
      <c r="BK656" s="34"/>
      <c r="BL656" s="34"/>
      <c r="BM656" s="34"/>
      <c r="DX656" s="1496" t="e">
        <f t="shared" si="2"/>
        <v>#VALUE!</v>
      </c>
      <c r="DY656" s="1496"/>
      <c r="DZ656" s="1496"/>
      <c r="EA656" s="1496"/>
      <c r="EB656" s="1496"/>
      <c r="EC656" s="1496" t="e">
        <f t="shared" si="3"/>
        <v>#VALUE!</v>
      </c>
      <c r="ED656" s="1496"/>
      <c r="EE656" s="1496"/>
      <c r="EF656" s="1496"/>
      <c r="EG656" s="1496"/>
      <c r="EH656" s="1496" t="e">
        <f t="shared" si="4"/>
        <v>#VALUE!</v>
      </c>
      <c r="EI656" s="1496"/>
      <c r="EJ656" s="1496"/>
      <c r="EK656" s="1496"/>
      <c r="EL656" s="1496"/>
      <c r="EM656" s="1496" t="e">
        <f t="shared" si="5"/>
        <v>#VALUE!</v>
      </c>
      <c r="EN656" s="1496"/>
      <c r="EO656" s="1496"/>
      <c r="EP656" s="1496"/>
      <c r="EQ656" s="1496"/>
      <c r="ER656" s="1496" t="e">
        <f t="shared" si="6"/>
        <v>#VALUE!</v>
      </c>
      <c r="ES656" s="1496"/>
      <c r="ET656" s="1496"/>
      <c r="EU656" s="1496"/>
      <c r="EV656" s="1496"/>
      <c r="EW656" s="1496" t="e">
        <f t="shared" si="7"/>
        <v>#VALUE!</v>
      </c>
      <c r="EX656" s="1496"/>
      <c r="EY656" s="1496"/>
      <c r="EZ656" s="1496"/>
      <c r="FA656" s="1496"/>
    </row>
    <row r="657" spans="1:157" ht="12.95" customHeight="1">
      <c r="A657" s="22"/>
      <c r="B657" t="s">
        <v>20</v>
      </c>
      <c r="N657" s="1379" t="s">
        <v>545</v>
      </c>
      <c r="O657" s="1379"/>
      <c r="T657" s="22"/>
      <c r="U657" t="s">
        <v>20</v>
      </c>
      <c r="AG657" s="1379"/>
      <c r="AH657" s="1379"/>
      <c r="AZ657" s="34"/>
      <c r="BA657" s="34"/>
      <c r="BB657" s="34"/>
      <c r="BC657" s="34"/>
      <c r="BD657" s="34"/>
      <c r="BE657" s="34"/>
      <c r="BF657" s="34"/>
      <c r="BG657" s="34"/>
      <c r="BH657" s="34"/>
      <c r="BI657" s="34"/>
      <c r="BJ657" s="34"/>
      <c r="BK657" s="34"/>
      <c r="BL657" s="34"/>
      <c r="BM657" s="34"/>
      <c r="DX657" s="1496" t="e">
        <f t="shared" si="2"/>
        <v>#VALUE!</v>
      </c>
      <c r="DY657" s="1496"/>
      <c r="DZ657" s="1496"/>
      <c r="EA657" s="1496"/>
      <c r="EB657" s="1496"/>
      <c r="EC657" s="1496" t="e">
        <f t="shared" si="3"/>
        <v>#VALUE!</v>
      </c>
      <c r="ED657" s="1496"/>
      <c r="EE657" s="1496"/>
      <c r="EF657" s="1496"/>
      <c r="EG657" s="1496"/>
      <c r="EH657" s="1496" t="e">
        <f t="shared" si="4"/>
        <v>#VALUE!</v>
      </c>
      <c r="EI657" s="1496"/>
      <c r="EJ657" s="1496"/>
      <c r="EK657" s="1496"/>
      <c r="EL657" s="1496"/>
      <c r="EM657" s="1496" t="e">
        <f t="shared" si="5"/>
        <v>#VALUE!</v>
      </c>
      <c r="EN657" s="1496"/>
      <c r="EO657" s="1496"/>
      <c r="EP657" s="1496"/>
      <c r="EQ657" s="1496"/>
      <c r="ER657" s="1496" t="e">
        <f t="shared" si="6"/>
        <v>#VALUE!</v>
      </c>
      <c r="ES657" s="1496"/>
      <c r="ET657" s="1496"/>
      <c r="EU657" s="1496"/>
      <c r="EV657" s="1496"/>
      <c r="EW657" s="1496" t="e">
        <f t="shared" si="7"/>
        <v>#VALUE!</v>
      </c>
      <c r="EX657" s="1496"/>
      <c r="EY657" s="1496"/>
      <c r="EZ657" s="1496"/>
      <c r="FA657" s="1496"/>
    </row>
    <row r="658" spans="1:157" ht="12.95" customHeight="1">
      <c r="A658" s="22"/>
      <c r="T658" s="22"/>
      <c r="AZ658" s="34"/>
      <c r="BA658" s="34"/>
      <c r="BB658" s="34"/>
      <c r="BC658" s="34"/>
      <c r="BD658" s="34"/>
      <c r="BE658" s="34"/>
      <c r="BF658" s="34"/>
      <c r="BG658" s="34"/>
      <c r="BH658" s="34"/>
      <c r="BI658" s="34"/>
      <c r="BJ658" s="34"/>
      <c r="BK658" s="34"/>
      <c r="BL658" s="34"/>
      <c r="BM658" s="34"/>
      <c r="DX658" s="1496" t="e">
        <f t="shared" si="2"/>
        <v>#VALUE!</v>
      </c>
      <c r="DY658" s="1496"/>
      <c r="DZ658" s="1496"/>
      <c r="EA658" s="1496"/>
      <c r="EB658" s="1496"/>
      <c r="EC658" s="1496" t="e">
        <f t="shared" si="3"/>
        <v>#VALUE!</v>
      </c>
      <c r="ED658" s="1496"/>
      <c r="EE658" s="1496"/>
      <c r="EF658" s="1496"/>
      <c r="EG658" s="1496"/>
      <c r="EH658" s="1496" t="e">
        <f t="shared" si="4"/>
        <v>#VALUE!</v>
      </c>
      <c r="EI658" s="1496"/>
      <c r="EJ658" s="1496"/>
      <c r="EK658" s="1496"/>
      <c r="EL658" s="1496"/>
      <c r="EM658" s="1496" t="e">
        <f t="shared" si="5"/>
        <v>#VALUE!</v>
      </c>
      <c r="EN658" s="1496"/>
      <c r="EO658" s="1496"/>
      <c r="EP658" s="1496"/>
      <c r="EQ658" s="1496"/>
      <c r="ER658" s="1496" t="e">
        <f t="shared" si="6"/>
        <v>#VALUE!</v>
      </c>
      <c r="ES658" s="1496"/>
      <c r="ET658" s="1496"/>
      <c r="EU658" s="1496"/>
      <c r="EV658" s="1496"/>
      <c r="EW658" s="1496" t="e">
        <f t="shared" si="7"/>
        <v>#VALUE!</v>
      </c>
      <c r="EX658" s="1496"/>
      <c r="EY658" s="1496"/>
      <c r="EZ658" s="1496"/>
      <c r="FA658" s="1496"/>
    </row>
    <row r="659" spans="1:157" ht="12.95" customHeight="1">
      <c r="A659" s="55" t="s">
        <v>763</v>
      </c>
      <c r="B659" t="s">
        <v>463</v>
      </c>
      <c r="G659" s="1389">
        <f>C631</f>
        <v>0</v>
      </c>
      <c r="H659" s="1389"/>
      <c r="I659" s="1389"/>
      <c r="J659" s="1389"/>
      <c r="K659" s="1389"/>
      <c r="L659" s="1389"/>
      <c r="M659" s="1389"/>
      <c r="N659" s="1389"/>
      <c r="O659" s="1389"/>
      <c r="P659" s="1389"/>
      <c r="Q659" s="1389"/>
      <c r="R659" s="1389"/>
      <c r="T659" s="55" t="s">
        <v>584</v>
      </c>
      <c r="U659" t="s">
        <v>463</v>
      </c>
      <c r="Z659" s="1389">
        <f>C632</f>
        <v>0</v>
      </c>
      <c r="AA659" s="1389"/>
      <c r="AB659" s="1389"/>
      <c r="AC659" s="1389"/>
      <c r="AD659" s="1389"/>
      <c r="AE659" s="1389"/>
      <c r="AF659" s="1389"/>
      <c r="AG659" s="1389"/>
      <c r="AH659" s="1389"/>
      <c r="AI659" s="1389"/>
      <c r="AJ659" s="1389"/>
      <c r="AK659" s="1389"/>
      <c r="AZ659" s="34"/>
      <c r="BA659" s="34"/>
      <c r="BB659" s="34"/>
      <c r="BC659" s="34"/>
      <c r="BD659" s="34"/>
      <c r="BE659" s="34"/>
      <c r="BF659" s="34"/>
      <c r="BG659" s="34"/>
      <c r="BH659" s="34"/>
      <c r="BI659" s="34"/>
      <c r="BJ659" s="34"/>
      <c r="BK659" s="34"/>
      <c r="BL659" s="34"/>
      <c r="BM659" s="34"/>
      <c r="DX659" s="1496" t="e">
        <f t="shared" si="2"/>
        <v>#VALUE!</v>
      </c>
      <c r="DY659" s="1496"/>
      <c r="DZ659" s="1496"/>
      <c r="EA659" s="1496"/>
      <c r="EB659" s="1496"/>
      <c r="EC659" s="1496" t="e">
        <f t="shared" si="3"/>
        <v>#VALUE!</v>
      </c>
      <c r="ED659" s="1496"/>
      <c r="EE659" s="1496"/>
      <c r="EF659" s="1496"/>
      <c r="EG659" s="1496"/>
      <c r="EH659" s="1496" t="e">
        <f t="shared" si="4"/>
        <v>#VALUE!</v>
      </c>
      <c r="EI659" s="1496"/>
      <c r="EJ659" s="1496"/>
      <c r="EK659" s="1496"/>
      <c r="EL659" s="1496"/>
      <c r="EM659" s="1496" t="e">
        <f t="shared" si="5"/>
        <v>#VALUE!</v>
      </c>
      <c r="EN659" s="1496"/>
      <c r="EO659" s="1496"/>
      <c r="EP659" s="1496"/>
      <c r="EQ659" s="1496"/>
      <c r="ER659" s="1496" t="e">
        <f t="shared" si="6"/>
        <v>#VALUE!</v>
      </c>
      <c r="ES659" s="1496"/>
      <c r="ET659" s="1496"/>
      <c r="EU659" s="1496"/>
      <c r="EV659" s="1496"/>
      <c r="EW659" s="1496" t="e">
        <f t="shared" si="7"/>
        <v>#VALUE!</v>
      </c>
      <c r="EX659" s="1496"/>
      <c r="EY659" s="1496"/>
      <c r="EZ659" s="1496"/>
      <c r="FA659" s="1496"/>
    </row>
    <row r="660" spans="1:157" ht="12.95" customHeight="1">
      <c r="A660" s="22"/>
      <c r="B660" t="s">
        <v>85</v>
      </c>
      <c r="G660" s="1393"/>
      <c r="H660" s="1393"/>
      <c r="I660" s="1393"/>
      <c r="J660" s="1393"/>
      <c r="K660" s="1393"/>
      <c r="L660" s="1393"/>
      <c r="M660" s="1393"/>
      <c r="N660" s="1393"/>
      <c r="O660" s="1393"/>
      <c r="P660" s="1393"/>
      <c r="Q660" s="1393"/>
      <c r="R660" s="1393"/>
      <c r="T660" s="22"/>
      <c r="U660" t="s">
        <v>85</v>
      </c>
      <c r="Z660" s="1393"/>
      <c r="AA660" s="1393"/>
      <c r="AB660" s="1393"/>
      <c r="AC660" s="1393"/>
      <c r="AD660" s="1393"/>
      <c r="AE660" s="1393"/>
      <c r="AF660" s="1393"/>
      <c r="AG660" s="1393"/>
      <c r="AH660" s="1393"/>
      <c r="AI660" s="1393"/>
      <c r="AJ660" s="1393"/>
      <c r="AK660" s="1393"/>
      <c r="AZ660" s="34"/>
      <c r="BA660" s="34"/>
      <c r="BB660" s="34"/>
      <c r="BC660" s="34"/>
      <c r="BD660" s="34"/>
      <c r="BE660" s="34"/>
      <c r="BF660" s="34"/>
      <c r="BG660" s="34"/>
      <c r="BH660" s="34"/>
      <c r="BI660" s="34"/>
      <c r="BJ660" s="34"/>
      <c r="BK660" s="34"/>
      <c r="BL660" s="34"/>
      <c r="BM660" s="34"/>
      <c r="DX660" s="1496" t="e">
        <f t="shared" si="2"/>
        <v>#VALUE!</v>
      </c>
      <c r="DY660" s="1496"/>
      <c r="DZ660" s="1496"/>
      <c r="EA660" s="1496"/>
      <c r="EB660" s="1496"/>
      <c r="EC660" s="1496" t="e">
        <f t="shared" si="3"/>
        <v>#VALUE!</v>
      </c>
      <c r="ED660" s="1496"/>
      <c r="EE660" s="1496"/>
      <c r="EF660" s="1496"/>
      <c r="EG660" s="1496"/>
      <c r="EH660" s="1496" t="e">
        <f t="shared" si="4"/>
        <v>#VALUE!</v>
      </c>
      <c r="EI660" s="1496"/>
      <c r="EJ660" s="1496"/>
      <c r="EK660" s="1496"/>
      <c r="EL660" s="1496"/>
      <c r="EM660" s="1496" t="e">
        <f t="shared" si="5"/>
        <v>#VALUE!</v>
      </c>
      <c r="EN660" s="1496"/>
      <c r="EO660" s="1496"/>
      <c r="EP660" s="1496"/>
      <c r="EQ660" s="1496"/>
      <c r="ER660" s="1496" t="e">
        <f t="shared" si="6"/>
        <v>#VALUE!</v>
      </c>
      <c r="ES660" s="1496"/>
      <c r="ET660" s="1496"/>
      <c r="EU660" s="1496"/>
      <c r="EV660" s="1496"/>
      <c r="EW660" s="1496" t="e">
        <f t="shared" si="7"/>
        <v>#VALUE!</v>
      </c>
      <c r="EX660" s="1496"/>
      <c r="EY660" s="1496"/>
      <c r="EZ660" s="1496"/>
      <c r="FA660" s="1496"/>
    </row>
    <row r="661" spans="1:157" ht="12.95" customHeight="1">
      <c r="A661" s="22"/>
      <c r="B661" t="s">
        <v>580</v>
      </c>
      <c r="G661" s="1393"/>
      <c r="H661" s="1393"/>
      <c r="I661" s="1393"/>
      <c r="J661" s="1393"/>
      <c r="K661" s="1393"/>
      <c r="L661" s="1393"/>
      <c r="M661" s="1393"/>
      <c r="N661" s="1393"/>
      <c r="O661" s="1393"/>
      <c r="P661" s="1393"/>
      <c r="Q661" s="1393"/>
      <c r="R661" s="1393"/>
      <c r="T661" s="22"/>
      <c r="U661" t="s">
        <v>580</v>
      </c>
      <c r="Z661" s="1397"/>
      <c r="AA661" s="1397"/>
      <c r="AB661" s="1397"/>
      <c r="AC661" s="1397"/>
      <c r="AD661" s="1397"/>
      <c r="AE661" s="1397"/>
      <c r="AF661" s="1397"/>
      <c r="AG661" s="1397"/>
      <c r="AH661" s="1397"/>
      <c r="AI661" s="1397"/>
      <c r="AJ661" s="1397"/>
      <c r="AK661" s="1397"/>
      <c r="AZ661" s="34"/>
      <c r="BA661" s="34"/>
      <c r="BB661" s="34"/>
      <c r="BC661" s="34"/>
      <c r="BD661" s="34"/>
      <c r="BE661" s="34"/>
      <c r="BF661" s="34"/>
      <c r="BG661" s="34"/>
      <c r="BH661" s="34"/>
      <c r="BI661" s="34"/>
      <c r="BJ661" s="34"/>
      <c r="BK661" s="34"/>
      <c r="BL661" s="34"/>
      <c r="BM661" s="34"/>
      <c r="DX661" s="1496" t="e">
        <f t="shared" si="2"/>
        <v>#VALUE!</v>
      </c>
      <c r="DY661" s="1496"/>
      <c r="DZ661" s="1496"/>
      <c r="EA661" s="1496"/>
      <c r="EB661" s="1496"/>
      <c r="EC661" s="1496" t="e">
        <f t="shared" si="3"/>
        <v>#VALUE!</v>
      </c>
      <c r="ED661" s="1496"/>
      <c r="EE661" s="1496"/>
      <c r="EF661" s="1496"/>
      <c r="EG661" s="1496"/>
      <c r="EH661" s="1496" t="e">
        <f t="shared" si="4"/>
        <v>#VALUE!</v>
      </c>
      <c r="EI661" s="1496"/>
      <c r="EJ661" s="1496"/>
      <c r="EK661" s="1496"/>
      <c r="EL661" s="1496"/>
      <c r="EM661" s="1496" t="e">
        <f t="shared" si="5"/>
        <v>#VALUE!</v>
      </c>
      <c r="EN661" s="1496"/>
      <c r="EO661" s="1496"/>
      <c r="EP661" s="1496"/>
      <c r="EQ661" s="1496"/>
      <c r="ER661" s="1496" t="e">
        <f t="shared" si="6"/>
        <v>#VALUE!</v>
      </c>
      <c r="ES661" s="1496"/>
      <c r="ET661" s="1496"/>
      <c r="EU661" s="1496"/>
      <c r="EV661" s="1496"/>
      <c r="EW661" s="1496" t="e">
        <f t="shared" si="7"/>
        <v>#VALUE!</v>
      </c>
      <c r="EX661" s="1496"/>
      <c r="EY661" s="1496"/>
      <c r="EZ661" s="1496"/>
      <c r="FA661" s="1496"/>
    </row>
    <row r="662" spans="1:157" ht="12.95" customHeight="1">
      <c r="A662" s="22"/>
      <c r="B662" t="s">
        <v>17</v>
      </c>
      <c r="G662" s="1393"/>
      <c r="H662" s="1393"/>
      <c r="I662" s="1393"/>
      <c r="J662" s="1393"/>
      <c r="K662" s="1393"/>
      <c r="L662" s="1393"/>
      <c r="M662" s="1393"/>
      <c r="N662" s="1393"/>
      <c r="O662" s="1393"/>
      <c r="P662" s="1393"/>
      <c r="Q662" s="1393"/>
      <c r="R662" s="1393"/>
      <c r="T662" s="22"/>
      <c r="U662" t="s">
        <v>17</v>
      </c>
      <c r="Z662" s="1397"/>
      <c r="AA662" s="1397"/>
      <c r="AB662" s="1397"/>
      <c r="AC662" s="1397"/>
      <c r="AD662" s="1397"/>
      <c r="AE662" s="1397"/>
      <c r="AF662" s="1397"/>
      <c r="AG662" s="1397"/>
      <c r="AH662" s="1397"/>
      <c r="AI662" s="1397"/>
      <c r="AJ662" s="1397"/>
      <c r="AK662" s="1397"/>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96" t="e">
        <f t="shared" si="2"/>
        <v>#VALUE!</v>
      </c>
      <c r="DY662" s="1496"/>
      <c r="DZ662" s="1496"/>
      <c r="EA662" s="1496"/>
      <c r="EB662" s="1496"/>
      <c r="EC662" s="1496" t="e">
        <f t="shared" si="3"/>
        <v>#VALUE!</v>
      </c>
      <c r="ED662" s="1496"/>
      <c r="EE662" s="1496"/>
      <c r="EF662" s="1496"/>
      <c r="EG662" s="1496"/>
      <c r="EH662" s="1496" t="e">
        <f t="shared" si="4"/>
        <v>#VALUE!</v>
      </c>
      <c r="EI662" s="1496"/>
      <c r="EJ662" s="1496"/>
      <c r="EK662" s="1496"/>
      <c r="EL662" s="1496"/>
      <c r="EM662" s="1496" t="e">
        <f t="shared" si="5"/>
        <v>#VALUE!</v>
      </c>
      <c r="EN662" s="1496"/>
      <c r="EO662" s="1496"/>
      <c r="EP662" s="1496"/>
      <c r="EQ662" s="1496"/>
      <c r="ER662" s="1496" t="e">
        <f t="shared" si="6"/>
        <v>#VALUE!</v>
      </c>
      <c r="ES662" s="1496"/>
      <c r="ET662" s="1496"/>
      <c r="EU662" s="1496"/>
      <c r="EV662" s="1496"/>
      <c r="EW662" s="1496" t="e">
        <f t="shared" si="7"/>
        <v>#VALUE!</v>
      </c>
      <c r="EX662" s="1496"/>
      <c r="EY662" s="1496"/>
      <c r="EZ662" s="1496"/>
      <c r="FA662" s="1496"/>
    </row>
    <row r="663" spans="1:157" ht="12.95" customHeight="1">
      <c r="A663" s="22"/>
      <c r="B663" t="s">
        <v>315</v>
      </c>
      <c r="G663" s="1505"/>
      <c r="H663" s="1505"/>
      <c r="I663" s="1505"/>
      <c r="J663" s="1505"/>
      <c r="K663" s="1505"/>
      <c r="L663" s="1505"/>
      <c r="O663" s="33" t="s">
        <v>205</v>
      </c>
      <c r="P663" s="1483"/>
      <c r="Q663" s="1483"/>
      <c r="R663" s="1483"/>
      <c r="T663" s="22"/>
      <c r="U663" t="s">
        <v>315</v>
      </c>
      <c r="Z663" s="1505"/>
      <c r="AA663" s="1505"/>
      <c r="AB663" s="1505"/>
      <c r="AC663" s="1505"/>
      <c r="AD663" s="1505"/>
      <c r="AE663" s="1505"/>
      <c r="AH663" s="33" t="s">
        <v>205</v>
      </c>
      <c r="AI663" s="1483"/>
      <c r="AJ663" s="1483"/>
      <c r="AK663" s="1483"/>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96" t="e">
        <f t="shared" si="2"/>
        <v>#VALUE!</v>
      </c>
      <c r="DY663" s="1496"/>
      <c r="DZ663" s="1496"/>
      <c r="EA663" s="1496"/>
      <c r="EB663" s="1496"/>
      <c r="EC663" s="1496" t="e">
        <f t="shared" si="3"/>
        <v>#VALUE!</v>
      </c>
      <c r="ED663" s="1496"/>
      <c r="EE663" s="1496"/>
      <c r="EF663" s="1496"/>
      <c r="EG663" s="1496"/>
      <c r="EH663" s="1496" t="e">
        <f t="shared" si="4"/>
        <v>#VALUE!</v>
      </c>
      <c r="EI663" s="1496"/>
      <c r="EJ663" s="1496"/>
      <c r="EK663" s="1496"/>
      <c r="EL663" s="1496"/>
      <c r="EM663" s="1496" t="e">
        <f t="shared" si="5"/>
        <v>#VALUE!</v>
      </c>
      <c r="EN663" s="1496"/>
      <c r="EO663" s="1496"/>
      <c r="EP663" s="1496"/>
      <c r="EQ663" s="1496"/>
      <c r="ER663" s="1496" t="e">
        <f t="shared" si="6"/>
        <v>#VALUE!</v>
      </c>
      <c r="ES663" s="1496"/>
      <c r="ET663" s="1496"/>
      <c r="EU663" s="1496"/>
      <c r="EV663" s="1496"/>
      <c r="EW663" s="1496" t="e">
        <f t="shared" si="7"/>
        <v>#VALUE!</v>
      </c>
      <c r="EX663" s="1496"/>
      <c r="EY663" s="1496"/>
      <c r="EZ663" s="1496"/>
      <c r="FA663" s="1496"/>
    </row>
    <row r="664" spans="1:157" ht="12.95" customHeight="1">
      <c r="A664" s="22"/>
      <c r="B664" t="s">
        <v>18</v>
      </c>
      <c r="H664" s="1393"/>
      <c r="I664" s="1393"/>
      <c r="J664" s="1393"/>
      <c r="K664" s="1393"/>
      <c r="L664" s="1393"/>
      <c r="M664" s="1393"/>
      <c r="N664" s="1393"/>
      <c r="O664" s="1393"/>
      <c r="P664" s="1393"/>
      <c r="Q664" s="1393"/>
      <c r="R664" s="1393"/>
      <c r="T664" s="22"/>
      <c r="U664" t="s">
        <v>18</v>
      </c>
      <c r="AA664" s="1393"/>
      <c r="AB664" s="1393"/>
      <c r="AC664" s="1393"/>
      <c r="AD664" s="1393"/>
      <c r="AE664" s="1393"/>
      <c r="AF664" s="1393"/>
      <c r="AG664" s="1393"/>
      <c r="AH664" s="1393"/>
      <c r="AI664" s="1393"/>
      <c r="AJ664" s="1393"/>
      <c r="AK664" s="1393"/>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96" t="e">
        <f t="shared" si="2"/>
        <v>#VALUE!</v>
      </c>
      <c r="DY664" s="1496"/>
      <c r="DZ664" s="1496"/>
      <c r="EA664" s="1496"/>
      <c r="EB664" s="1496"/>
      <c r="EC664" s="1496" t="e">
        <f t="shared" si="3"/>
        <v>#VALUE!</v>
      </c>
      <c r="ED664" s="1496"/>
      <c r="EE664" s="1496"/>
      <c r="EF664" s="1496"/>
      <c r="EG664" s="1496"/>
      <c r="EH664" s="1496" t="e">
        <f t="shared" si="4"/>
        <v>#VALUE!</v>
      </c>
      <c r="EI664" s="1496"/>
      <c r="EJ664" s="1496"/>
      <c r="EK664" s="1496"/>
      <c r="EL664" s="1496"/>
      <c r="EM664" s="1496" t="e">
        <f t="shared" si="5"/>
        <v>#VALUE!</v>
      </c>
      <c r="EN664" s="1496"/>
      <c r="EO664" s="1496"/>
      <c r="EP664" s="1496"/>
      <c r="EQ664" s="1496"/>
      <c r="ER664" s="1496" t="e">
        <f t="shared" si="6"/>
        <v>#VALUE!</v>
      </c>
      <c r="ES664" s="1496"/>
      <c r="ET664" s="1496"/>
      <c r="EU664" s="1496"/>
      <c r="EV664" s="1496"/>
      <c r="EW664" s="1496" t="e">
        <f t="shared" si="7"/>
        <v>#VALUE!</v>
      </c>
      <c r="EX664" s="1496"/>
      <c r="EY664" s="1496"/>
      <c r="EZ664" s="1496"/>
      <c r="FA664" s="1496"/>
    </row>
    <row r="665" spans="1:157" ht="12.95" customHeight="1">
      <c r="A665" s="22"/>
      <c r="B665" t="s">
        <v>20</v>
      </c>
      <c r="N665" s="1379" t="s">
        <v>669</v>
      </c>
      <c r="O665" s="1379"/>
      <c r="T665" s="22"/>
      <c r="U665" t="s">
        <v>20</v>
      </c>
      <c r="AG665" s="1379" t="s">
        <v>669</v>
      </c>
      <c r="AH665" s="1379"/>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96" t="e">
        <f t="shared" si="2"/>
        <v>#VALUE!</v>
      </c>
      <c r="DY665" s="1496"/>
      <c r="DZ665" s="1496"/>
      <c r="EA665" s="1496"/>
      <c r="EB665" s="1496"/>
      <c r="EC665" s="1496" t="e">
        <f t="shared" si="3"/>
        <v>#VALUE!</v>
      </c>
      <c r="ED665" s="1496"/>
      <c r="EE665" s="1496"/>
      <c r="EF665" s="1496"/>
      <c r="EG665" s="1496"/>
      <c r="EH665" s="1496" t="e">
        <f t="shared" si="4"/>
        <v>#VALUE!</v>
      </c>
      <c r="EI665" s="1496"/>
      <c r="EJ665" s="1496"/>
      <c r="EK665" s="1496"/>
      <c r="EL665" s="1496"/>
      <c r="EM665" s="1496" t="e">
        <f t="shared" si="5"/>
        <v>#VALUE!</v>
      </c>
      <c r="EN665" s="1496"/>
      <c r="EO665" s="1496"/>
      <c r="EP665" s="1496"/>
      <c r="EQ665" s="1496"/>
      <c r="ER665" s="1496" t="e">
        <f t="shared" si="6"/>
        <v>#VALUE!</v>
      </c>
      <c r="ES665" s="1496"/>
      <c r="ET665" s="1496"/>
      <c r="EU665" s="1496"/>
      <c r="EV665" s="1496"/>
      <c r="EW665" s="1496" t="e">
        <f t="shared" si="7"/>
        <v>#VALUE!</v>
      </c>
      <c r="EX665" s="1496"/>
      <c r="EY665" s="1496"/>
      <c r="EZ665" s="1496"/>
      <c r="FA665" s="1496"/>
    </row>
    <row r="666" spans="1:157" ht="12.95"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96" t="e">
        <f t="shared" si="2"/>
        <v>#VALUE!</v>
      </c>
      <c r="DY666" s="1496"/>
      <c r="DZ666" s="1496"/>
      <c r="EA666" s="1496"/>
      <c r="EB666" s="1496"/>
      <c r="EC666" s="1496" t="e">
        <f t="shared" si="3"/>
        <v>#VALUE!</v>
      </c>
      <c r="ED666" s="1496"/>
      <c r="EE666" s="1496"/>
      <c r="EF666" s="1496"/>
      <c r="EG666" s="1496"/>
      <c r="EH666" s="1496" t="e">
        <f t="shared" si="4"/>
        <v>#VALUE!</v>
      </c>
      <c r="EI666" s="1496"/>
      <c r="EJ666" s="1496"/>
      <c r="EK666" s="1496"/>
      <c r="EL666" s="1496"/>
      <c r="EM666" s="1496" t="e">
        <f t="shared" si="5"/>
        <v>#VALUE!</v>
      </c>
      <c r="EN666" s="1496"/>
      <c r="EO666" s="1496"/>
      <c r="EP666" s="1496"/>
      <c r="EQ666" s="1496"/>
      <c r="ER666" s="1496" t="e">
        <f t="shared" si="6"/>
        <v>#VALUE!</v>
      </c>
      <c r="ES666" s="1496"/>
      <c r="ET666" s="1496"/>
      <c r="EU666" s="1496"/>
      <c r="EV666" s="1496"/>
      <c r="EW666" s="1496" t="e">
        <f t="shared" si="7"/>
        <v>#VALUE!</v>
      </c>
      <c r="EX666" s="1496"/>
      <c r="EY666" s="1496"/>
      <c r="EZ666" s="1496"/>
      <c r="FA666" s="1496"/>
    </row>
    <row r="667" spans="1:157" ht="12.95" customHeight="1">
      <c r="A667" s="55" t="s">
        <v>455</v>
      </c>
      <c r="B667" t="s">
        <v>463</v>
      </c>
      <c r="G667" s="1389">
        <f>C633</f>
        <v>0</v>
      </c>
      <c r="H667" s="1389"/>
      <c r="I667" s="1389"/>
      <c r="J667" s="1389"/>
      <c r="K667" s="1389"/>
      <c r="L667" s="1389"/>
      <c r="M667" s="1389"/>
      <c r="N667" s="1389"/>
      <c r="O667" s="1389"/>
      <c r="P667" s="1389"/>
      <c r="Q667" s="1389"/>
      <c r="R667" s="1389"/>
      <c r="T667" s="55" t="s">
        <v>456</v>
      </c>
      <c r="U667" t="s">
        <v>463</v>
      </c>
      <c r="Z667" s="1389">
        <f>C634</f>
        <v>0</v>
      </c>
      <c r="AA667" s="1389"/>
      <c r="AB667" s="1389"/>
      <c r="AC667" s="1389"/>
      <c r="AD667" s="1389"/>
      <c r="AE667" s="1389"/>
      <c r="AF667" s="1389"/>
      <c r="AG667" s="1389"/>
      <c r="AH667" s="1389"/>
      <c r="AI667" s="1389"/>
      <c r="AJ667" s="1389"/>
      <c r="AK667" s="1389"/>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96" t="e">
        <f t="shared" si="2"/>
        <v>#VALUE!</v>
      </c>
      <c r="DY667" s="1496"/>
      <c r="DZ667" s="1496"/>
      <c r="EA667" s="1496"/>
      <c r="EB667" s="1496"/>
      <c r="EC667" s="1496" t="e">
        <f t="shared" si="3"/>
        <v>#VALUE!</v>
      </c>
      <c r="ED667" s="1496"/>
      <c r="EE667" s="1496"/>
      <c r="EF667" s="1496"/>
      <c r="EG667" s="1496"/>
      <c r="EH667" s="1496" t="e">
        <f t="shared" si="4"/>
        <v>#VALUE!</v>
      </c>
      <c r="EI667" s="1496"/>
      <c r="EJ667" s="1496"/>
      <c r="EK667" s="1496"/>
      <c r="EL667" s="1496"/>
      <c r="EM667" s="1496" t="e">
        <f t="shared" si="5"/>
        <v>#VALUE!</v>
      </c>
      <c r="EN667" s="1496"/>
      <c r="EO667" s="1496"/>
      <c r="EP667" s="1496"/>
      <c r="EQ667" s="1496"/>
      <c r="ER667" s="1496" t="e">
        <f t="shared" si="6"/>
        <v>#VALUE!</v>
      </c>
      <c r="ES667" s="1496"/>
      <c r="ET667" s="1496"/>
      <c r="EU667" s="1496"/>
      <c r="EV667" s="1496"/>
      <c r="EW667" s="1496" t="e">
        <f t="shared" si="7"/>
        <v>#VALUE!</v>
      </c>
      <c r="EX667" s="1496"/>
      <c r="EY667" s="1496"/>
      <c r="EZ667" s="1496"/>
      <c r="FA667" s="1496"/>
    </row>
    <row r="668" spans="1:157" ht="12.95" customHeight="1">
      <c r="A668" s="22"/>
      <c r="B668" t="s">
        <v>85</v>
      </c>
      <c r="G668" s="1393"/>
      <c r="H668" s="1393"/>
      <c r="I668" s="1393"/>
      <c r="J668" s="1393"/>
      <c r="K668" s="1393"/>
      <c r="L668" s="1393"/>
      <c r="M668" s="1393"/>
      <c r="N668" s="1393"/>
      <c r="O668" s="1393"/>
      <c r="P668" s="1393"/>
      <c r="Q668" s="1393"/>
      <c r="R668" s="1393"/>
      <c r="T668" s="22"/>
      <c r="U668" t="s">
        <v>85</v>
      </c>
      <c r="Z668" s="1393"/>
      <c r="AA668" s="1393"/>
      <c r="AB668" s="1393"/>
      <c r="AC668" s="1393"/>
      <c r="AD668" s="1393"/>
      <c r="AE668" s="1393"/>
      <c r="AF668" s="1393"/>
      <c r="AG668" s="1393"/>
      <c r="AH668" s="1393"/>
      <c r="AI668" s="1393"/>
      <c r="AJ668" s="1393"/>
      <c r="AK668" s="1393"/>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96" t="e">
        <f t="shared" si="2"/>
        <v>#VALUE!</v>
      </c>
      <c r="DY668" s="1496"/>
      <c r="DZ668" s="1496"/>
      <c r="EA668" s="1496"/>
      <c r="EB668" s="1496"/>
      <c r="EC668" s="1496" t="e">
        <f t="shared" si="3"/>
        <v>#VALUE!</v>
      </c>
      <c r="ED668" s="1496"/>
      <c r="EE668" s="1496"/>
      <c r="EF668" s="1496"/>
      <c r="EG668" s="1496"/>
      <c r="EH668" s="1496" t="e">
        <f t="shared" si="4"/>
        <v>#VALUE!</v>
      </c>
      <c r="EI668" s="1496"/>
      <c r="EJ668" s="1496"/>
      <c r="EK668" s="1496"/>
      <c r="EL668" s="1496"/>
      <c r="EM668" s="1496" t="e">
        <f t="shared" si="5"/>
        <v>#VALUE!</v>
      </c>
      <c r="EN668" s="1496"/>
      <c r="EO668" s="1496"/>
      <c r="EP668" s="1496"/>
      <c r="EQ668" s="1496"/>
      <c r="ER668" s="1496" t="e">
        <f t="shared" si="6"/>
        <v>#VALUE!</v>
      </c>
      <c r="ES668" s="1496"/>
      <c r="ET668" s="1496"/>
      <c r="EU668" s="1496"/>
      <c r="EV668" s="1496"/>
      <c r="EW668" s="1496" t="e">
        <f t="shared" si="7"/>
        <v>#VALUE!</v>
      </c>
      <c r="EX668" s="1496"/>
      <c r="EY668" s="1496"/>
      <c r="EZ668" s="1496"/>
      <c r="FA668" s="1496"/>
    </row>
    <row r="669" spans="1:157" ht="12.95" customHeight="1">
      <c r="A669" s="22"/>
      <c r="B669" t="s">
        <v>580</v>
      </c>
      <c r="G669" s="1393"/>
      <c r="H669" s="1393"/>
      <c r="I669" s="1393"/>
      <c r="J669" s="1393"/>
      <c r="K669" s="1393"/>
      <c r="L669" s="1393"/>
      <c r="M669" s="1393"/>
      <c r="N669" s="1393"/>
      <c r="O669" s="1393"/>
      <c r="P669" s="1393"/>
      <c r="Q669" s="1393"/>
      <c r="R669" s="1393"/>
      <c r="T669" s="22"/>
      <c r="U669" t="s">
        <v>580</v>
      </c>
      <c r="Z669" s="1397"/>
      <c r="AA669" s="1397"/>
      <c r="AB669" s="1397"/>
      <c r="AC669" s="1397"/>
      <c r="AD669" s="1397"/>
      <c r="AE669" s="1397"/>
      <c r="AF669" s="1397"/>
      <c r="AG669" s="1397"/>
      <c r="AH669" s="1397"/>
      <c r="AI669" s="1397"/>
      <c r="AJ669" s="1397"/>
      <c r="AK669" s="1397"/>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96" t="e">
        <f t="shared" si="2"/>
        <v>#VALUE!</v>
      </c>
      <c r="DY669" s="1496"/>
      <c r="DZ669" s="1496"/>
      <c r="EA669" s="1496"/>
      <c r="EB669" s="1496"/>
      <c r="EC669" s="1496" t="e">
        <f t="shared" si="3"/>
        <v>#VALUE!</v>
      </c>
      <c r="ED669" s="1496"/>
      <c r="EE669" s="1496"/>
      <c r="EF669" s="1496"/>
      <c r="EG669" s="1496"/>
      <c r="EH669" s="1496" t="e">
        <f t="shared" si="4"/>
        <v>#VALUE!</v>
      </c>
      <c r="EI669" s="1496"/>
      <c r="EJ669" s="1496"/>
      <c r="EK669" s="1496"/>
      <c r="EL669" s="1496"/>
      <c r="EM669" s="1496" t="e">
        <f t="shared" si="5"/>
        <v>#VALUE!</v>
      </c>
      <c r="EN669" s="1496"/>
      <c r="EO669" s="1496"/>
      <c r="EP669" s="1496"/>
      <c r="EQ669" s="1496"/>
      <c r="ER669" s="1496" t="e">
        <f t="shared" si="6"/>
        <v>#VALUE!</v>
      </c>
      <c r="ES669" s="1496"/>
      <c r="ET669" s="1496"/>
      <c r="EU669" s="1496"/>
      <c r="EV669" s="1496"/>
      <c r="EW669" s="1496" t="e">
        <f t="shared" si="7"/>
        <v>#VALUE!</v>
      </c>
      <c r="EX669" s="1496"/>
      <c r="EY669" s="1496"/>
      <c r="EZ669" s="1496"/>
      <c r="FA669" s="1496"/>
    </row>
    <row r="670" spans="1:157" ht="12.95" customHeight="1">
      <c r="A670" s="22"/>
      <c r="B670" t="s">
        <v>17</v>
      </c>
      <c r="G670" s="1393"/>
      <c r="H670" s="1393"/>
      <c r="I670" s="1393"/>
      <c r="J670" s="1393"/>
      <c r="K670" s="1393"/>
      <c r="L670" s="1393"/>
      <c r="M670" s="1393"/>
      <c r="N670" s="1393"/>
      <c r="O670" s="1393"/>
      <c r="P670" s="1393"/>
      <c r="Q670" s="1393"/>
      <c r="R670" s="1393"/>
      <c r="T670" s="22"/>
      <c r="U670" t="s">
        <v>17</v>
      </c>
      <c r="Z670" s="1397"/>
      <c r="AA670" s="1397"/>
      <c r="AB670" s="1397"/>
      <c r="AC670" s="1397"/>
      <c r="AD670" s="1397"/>
      <c r="AE670" s="1397"/>
      <c r="AF670" s="1397"/>
      <c r="AG670" s="1397"/>
      <c r="AH670" s="1397"/>
      <c r="AI670" s="1397"/>
      <c r="AJ670" s="1397"/>
      <c r="AK670" s="1397"/>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96">
        <f>SUMIF(DX635:EB669,"&gt;0")</f>
        <v>1380.7567567567567</v>
      </c>
      <c r="DY670" s="1496"/>
      <c r="DZ670" s="1496"/>
      <c r="EA670" s="1496"/>
      <c r="EB670" s="1496"/>
      <c r="EC670" s="1496">
        <f>SUMIF(EC635:EG669,"&gt;0")</f>
        <v>1926.2893081761003</v>
      </c>
      <c r="ED670" s="1496"/>
      <c r="EE670" s="1496"/>
      <c r="EF670" s="1496"/>
      <c r="EG670" s="1496"/>
      <c r="EH670" s="1496">
        <f>SUMIF(EH635:EL669,"&gt;0")</f>
        <v>2182.272727272727</v>
      </c>
      <c r="EI670" s="1496"/>
      <c r="EJ670" s="1496"/>
      <c r="EK670" s="1496"/>
      <c r="EL670" s="1496"/>
      <c r="EM670" s="1496">
        <f>SUMIF(EM635:EQ669,"&gt;0")</f>
        <v>2887.1428571428569</v>
      </c>
      <c r="EN670" s="1496"/>
      <c r="EO670" s="1496"/>
      <c r="EP670" s="1496"/>
      <c r="EQ670" s="1496"/>
      <c r="ER670" s="1496">
        <f>SUMIF(ER635:EV669,"&gt;0")</f>
        <v>0</v>
      </c>
      <c r="ES670" s="1496"/>
      <c r="ET670" s="1496"/>
      <c r="EU670" s="1496"/>
      <c r="EV670" s="1496"/>
      <c r="EW670" s="1496">
        <f>SUMIF(EW635:FA669,"&gt;0")</f>
        <v>0</v>
      </c>
      <c r="EX670" s="1496"/>
      <c r="EY670" s="1496"/>
      <c r="EZ670" s="1496"/>
      <c r="FA670" s="1496"/>
    </row>
    <row r="671" spans="1:157" ht="12.95" customHeight="1">
      <c r="A671" s="22"/>
      <c r="B671" t="s">
        <v>315</v>
      </c>
      <c r="G671" s="1505"/>
      <c r="H671" s="1505"/>
      <c r="I671" s="1505"/>
      <c r="J671" s="1505"/>
      <c r="K671" s="1505"/>
      <c r="L671" s="1505"/>
      <c r="O671" s="33" t="s">
        <v>205</v>
      </c>
      <c r="P671" s="1483"/>
      <c r="Q671" s="1483"/>
      <c r="R671" s="1483"/>
      <c r="T671" s="22"/>
      <c r="U671" t="s">
        <v>315</v>
      </c>
      <c r="Z671" s="1505"/>
      <c r="AA671" s="1505"/>
      <c r="AB671" s="1505"/>
      <c r="AC671" s="1505"/>
      <c r="AD671" s="1505"/>
      <c r="AE671" s="1505"/>
      <c r="AH671" s="33" t="s">
        <v>205</v>
      </c>
      <c r="AI671" s="1483"/>
      <c r="AJ671" s="1483"/>
      <c r="AK671" s="1483"/>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93"/>
      <c r="I672" s="1393"/>
      <c r="J672" s="1393"/>
      <c r="K672" s="1393"/>
      <c r="L672" s="1393"/>
      <c r="M672" s="1393"/>
      <c r="N672" s="1393"/>
      <c r="O672" s="1393"/>
      <c r="P672" s="1393"/>
      <c r="Q672" s="1393"/>
      <c r="R672" s="1393"/>
      <c r="T672" s="22"/>
      <c r="U672" t="s">
        <v>18</v>
      </c>
      <c r="AA672" s="1393"/>
      <c r="AB672" s="1393"/>
      <c r="AC672" s="1393"/>
      <c r="AD672" s="1393"/>
      <c r="AE672" s="1393"/>
      <c r="AF672" s="1393"/>
      <c r="AG672" s="1393"/>
      <c r="AH672" s="1393"/>
      <c r="AI672" s="1393"/>
      <c r="AJ672" s="1393"/>
      <c r="AK672" s="1393"/>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5" customHeight="1">
      <c r="A673" s="22"/>
      <c r="B673" t="s">
        <v>20</v>
      </c>
      <c r="N673" s="1379" t="s">
        <v>669</v>
      </c>
      <c r="O673" s="1379"/>
      <c r="T673" s="22"/>
      <c r="U673" t="s">
        <v>20</v>
      </c>
      <c r="AG673" s="1379" t="s">
        <v>669</v>
      </c>
      <c r="AH673" s="1379"/>
      <c r="AZ673" s="3"/>
    </row>
    <row r="674" spans="1:52" ht="12.95" customHeight="1">
      <c r="A674" s="22"/>
      <c r="T674" s="22"/>
      <c r="AZ674" s="3"/>
    </row>
    <row r="675" spans="1:52" ht="12.95" customHeight="1">
      <c r="A675" s="55" t="s">
        <v>461</v>
      </c>
      <c r="B675" t="s">
        <v>463</v>
      </c>
      <c r="G675" s="1389">
        <f>C635</f>
        <v>0</v>
      </c>
      <c r="H675" s="1389"/>
      <c r="I675" s="1389"/>
      <c r="J675" s="1389"/>
      <c r="K675" s="1389"/>
      <c r="L675" s="1389"/>
      <c r="M675" s="1389"/>
      <c r="N675" s="1389"/>
      <c r="O675" s="1389"/>
      <c r="P675" s="1389"/>
      <c r="Q675" s="1389"/>
      <c r="R675" s="1389"/>
      <c r="T675" s="55" t="s">
        <v>646</v>
      </c>
      <c r="U675" t="s">
        <v>463</v>
      </c>
      <c r="Z675" s="1389">
        <f>C636</f>
        <v>0</v>
      </c>
      <c r="AA675" s="1389"/>
      <c r="AB675" s="1389"/>
      <c r="AC675" s="1389"/>
      <c r="AD675" s="1389"/>
      <c r="AE675" s="1389"/>
      <c r="AF675" s="1389"/>
      <c r="AG675" s="1389"/>
      <c r="AH675" s="1389"/>
      <c r="AI675" s="1389"/>
      <c r="AJ675" s="1389"/>
      <c r="AK675" s="1389"/>
      <c r="AZ675" s="3"/>
    </row>
    <row r="676" spans="1:52" ht="12.95" customHeight="1">
      <c r="A676" s="22"/>
      <c r="B676" t="s">
        <v>85</v>
      </c>
      <c r="G676" s="1393"/>
      <c r="H676" s="1393"/>
      <c r="I676" s="1393"/>
      <c r="J676" s="1393"/>
      <c r="K676" s="1393"/>
      <c r="L676" s="1393"/>
      <c r="M676" s="1393"/>
      <c r="N676" s="1393"/>
      <c r="O676" s="1393"/>
      <c r="P676" s="1393"/>
      <c r="Q676" s="1393"/>
      <c r="R676" s="1393"/>
      <c r="T676" s="22"/>
      <c r="U676" t="s">
        <v>85</v>
      </c>
      <c r="Z676" s="1393"/>
      <c r="AA676" s="1393"/>
      <c r="AB676" s="1393"/>
      <c r="AC676" s="1393"/>
      <c r="AD676" s="1393"/>
      <c r="AE676" s="1393"/>
      <c r="AF676" s="1393"/>
      <c r="AG676" s="1393"/>
      <c r="AH676" s="1393"/>
      <c r="AI676" s="1393"/>
      <c r="AJ676" s="1393"/>
      <c r="AK676" s="1393"/>
      <c r="AZ676" s="3"/>
    </row>
    <row r="677" spans="1:52" ht="12.95" customHeight="1">
      <c r="A677" s="22"/>
      <c r="B677" t="s">
        <v>580</v>
      </c>
      <c r="G677" s="1393"/>
      <c r="H677" s="1393"/>
      <c r="I677" s="1393"/>
      <c r="J677" s="1393"/>
      <c r="K677" s="1393"/>
      <c r="L677" s="1393"/>
      <c r="M677" s="1393"/>
      <c r="N677" s="1393"/>
      <c r="O677" s="1393"/>
      <c r="P677" s="1393"/>
      <c r="Q677" s="1393"/>
      <c r="R677" s="1393"/>
      <c r="T677" s="22"/>
      <c r="U677" t="s">
        <v>580</v>
      </c>
      <c r="Z677" s="1397"/>
      <c r="AA677" s="1397"/>
      <c r="AB677" s="1397"/>
      <c r="AC677" s="1397"/>
      <c r="AD677" s="1397"/>
      <c r="AE677" s="1397"/>
      <c r="AF677" s="1397"/>
      <c r="AG677" s="1397"/>
      <c r="AH677" s="1397"/>
      <c r="AI677" s="1397"/>
      <c r="AJ677" s="1397"/>
      <c r="AK677" s="1397"/>
      <c r="AZ677" s="3"/>
    </row>
    <row r="678" spans="1:52" ht="12.95" customHeight="1">
      <c r="A678" s="22"/>
      <c r="B678" t="s">
        <v>17</v>
      </c>
      <c r="G678" s="1393"/>
      <c r="H678" s="1393"/>
      <c r="I678" s="1393"/>
      <c r="J678" s="1393"/>
      <c r="K678" s="1393"/>
      <c r="L678" s="1393"/>
      <c r="M678" s="1393"/>
      <c r="N678" s="1393"/>
      <c r="O678" s="1393"/>
      <c r="P678" s="1393"/>
      <c r="Q678" s="1393"/>
      <c r="R678" s="1393"/>
      <c r="T678" s="22"/>
      <c r="U678" t="s">
        <v>17</v>
      </c>
      <c r="Z678" s="1397"/>
      <c r="AA678" s="1397"/>
      <c r="AB678" s="1397"/>
      <c r="AC678" s="1397"/>
      <c r="AD678" s="1397"/>
      <c r="AE678" s="1397"/>
      <c r="AF678" s="1397"/>
      <c r="AG678" s="1397"/>
      <c r="AH678" s="1397"/>
      <c r="AI678" s="1397"/>
      <c r="AJ678" s="1397"/>
      <c r="AK678" s="1397"/>
      <c r="AZ678" s="3"/>
    </row>
    <row r="679" spans="1:52" ht="12.95" customHeight="1">
      <c r="A679" s="22"/>
      <c r="B679" t="s">
        <v>315</v>
      </c>
      <c r="G679" s="1505"/>
      <c r="H679" s="1505"/>
      <c r="I679" s="1505"/>
      <c r="J679" s="1505"/>
      <c r="K679" s="1505"/>
      <c r="L679" s="1505"/>
      <c r="O679" s="33" t="s">
        <v>205</v>
      </c>
      <c r="P679" s="1483"/>
      <c r="Q679" s="1483"/>
      <c r="R679" s="1483"/>
      <c r="T679" s="22"/>
      <c r="U679" t="s">
        <v>315</v>
      </c>
      <c r="Z679" s="1505"/>
      <c r="AA679" s="1505"/>
      <c r="AB679" s="1505"/>
      <c r="AC679" s="1505"/>
      <c r="AD679" s="1505"/>
      <c r="AE679" s="1505"/>
      <c r="AH679" s="33" t="s">
        <v>205</v>
      </c>
      <c r="AI679" s="1483"/>
      <c r="AJ679" s="1483"/>
      <c r="AK679" s="1483"/>
      <c r="AZ679" s="3"/>
    </row>
    <row r="680" spans="1:52" ht="12.95" customHeight="1">
      <c r="A680" s="22"/>
      <c r="B680" t="s">
        <v>18</v>
      </c>
      <c r="H680" s="1393"/>
      <c r="I680" s="1393"/>
      <c r="J680" s="1393"/>
      <c r="K680" s="1393"/>
      <c r="L680" s="1393"/>
      <c r="M680" s="1393"/>
      <c r="N680" s="1393"/>
      <c r="O680" s="1393"/>
      <c r="P680" s="1393"/>
      <c r="Q680" s="1393"/>
      <c r="R680" s="1393"/>
      <c r="T680" s="22"/>
      <c r="U680" t="s">
        <v>18</v>
      </c>
      <c r="AA680" s="1393"/>
      <c r="AB680" s="1393"/>
      <c r="AC680" s="1393"/>
      <c r="AD680" s="1393"/>
      <c r="AE680" s="1393"/>
      <c r="AF680" s="1393"/>
      <c r="AG680" s="1393"/>
      <c r="AH680" s="1393"/>
      <c r="AI680" s="1393"/>
      <c r="AJ680" s="1393"/>
      <c r="AK680" s="1393"/>
      <c r="AZ680" s="3"/>
    </row>
    <row r="681" spans="1:52" ht="12.95" customHeight="1">
      <c r="A681" s="22"/>
      <c r="B681" t="s">
        <v>20</v>
      </c>
      <c r="N681" s="1379" t="s">
        <v>669</v>
      </c>
      <c r="O681" s="1379"/>
      <c r="T681" s="22"/>
      <c r="U681" t="s">
        <v>20</v>
      </c>
      <c r="AG681" s="1379" t="s">
        <v>669</v>
      </c>
      <c r="AH681" s="1379"/>
      <c r="AZ681" s="3"/>
    </row>
    <row r="682" spans="1:52" ht="12.95" customHeight="1">
      <c r="A682" s="22"/>
      <c r="T682" s="22"/>
      <c r="AZ682" s="3"/>
    </row>
    <row r="683" spans="1:52" ht="12.95" customHeight="1">
      <c r="A683" s="55" t="s">
        <v>361</v>
      </c>
      <c r="B683" t="s">
        <v>463</v>
      </c>
      <c r="G683" s="1389">
        <f>C637</f>
        <v>0</v>
      </c>
      <c r="H683" s="1389"/>
      <c r="I683" s="1389"/>
      <c r="J683" s="1389"/>
      <c r="K683" s="1389"/>
      <c r="L683" s="1389"/>
      <c r="M683" s="1389"/>
      <c r="N683" s="1389"/>
      <c r="O683" s="1389"/>
      <c r="P683" s="1389"/>
      <c r="Q683" s="1389"/>
      <c r="R683" s="1389"/>
      <c r="T683" s="55" t="s">
        <v>362</v>
      </c>
      <c r="U683" t="s">
        <v>463</v>
      </c>
      <c r="Z683" s="1389">
        <f>C638</f>
        <v>0</v>
      </c>
      <c r="AA683" s="1389"/>
      <c r="AB683" s="1389"/>
      <c r="AC683" s="1389"/>
      <c r="AD683" s="1389"/>
      <c r="AE683" s="1389"/>
      <c r="AF683" s="1389"/>
      <c r="AG683" s="1389"/>
      <c r="AH683" s="1389"/>
      <c r="AI683" s="1389"/>
      <c r="AJ683" s="1389"/>
      <c r="AK683" s="1389"/>
      <c r="AZ683" s="3"/>
    </row>
    <row r="684" spans="1:52" ht="12.95" customHeight="1">
      <c r="B684" t="s">
        <v>85</v>
      </c>
      <c r="G684" s="1393"/>
      <c r="H684" s="1393"/>
      <c r="I684" s="1393"/>
      <c r="J684" s="1393"/>
      <c r="K684" s="1393"/>
      <c r="L684" s="1393"/>
      <c r="M684" s="1393"/>
      <c r="N684" s="1393"/>
      <c r="O684" s="1393"/>
      <c r="P684" s="1393"/>
      <c r="Q684" s="1393"/>
      <c r="R684" s="1393"/>
      <c r="T684" s="22"/>
      <c r="U684" t="s">
        <v>85</v>
      </c>
      <c r="Z684" s="1393"/>
      <c r="AA684" s="1393"/>
      <c r="AB684" s="1393"/>
      <c r="AC684" s="1393"/>
      <c r="AD684" s="1393"/>
      <c r="AE684" s="1393"/>
      <c r="AF684" s="1393"/>
      <c r="AG684" s="1393"/>
      <c r="AH684" s="1393"/>
      <c r="AI684" s="1393"/>
      <c r="AJ684" s="1393"/>
      <c r="AK684" s="1393"/>
      <c r="AZ684" s="3"/>
    </row>
    <row r="685" spans="1:52" ht="12.95" customHeight="1">
      <c r="B685" t="s">
        <v>580</v>
      </c>
      <c r="G685" s="1393"/>
      <c r="H685" s="1393"/>
      <c r="I685" s="1393"/>
      <c r="J685" s="1393"/>
      <c r="K685" s="1393"/>
      <c r="L685" s="1393"/>
      <c r="M685" s="1393"/>
      <c r="N685" s="1393"/>
      <c r="O685" s="1393"/>
      <c r="P685" s="1393"/>
      <c r="Q685" s="1393"/>
      <c r="R685" s="1393"/>
      <c r="U685" t="s">
        <v>580</v>
      </c>
      <c r="Z685" s="1397"/>
      <c r="AA685" s="1397"/>
      <c r="AB685" s="1397"/>
      <c r="AC685" s="1397"/>
      <c r="AD685" s="1397"/>
      <c r="AE685" s="1397"/>
      <c r="AF685" s="1397"/>
      <c r="AG685" s="1397"/>
      <c r="AH685" s="1397"/>
      <c r="AI685" s="1397"/>
      <c r="AJ685" s="1397"/>
      <c r="AK685" s="1397"/>
      <c r="AZ685" s="3"/>
    </row>
    <row r="686" spans="1:52" ht="12.95" customHeight="1">
      <c r="B686" t="s">
        <v>17</v>
      </c>
      <c r="G686" s="1393"/>
      <c r="H686" s="1393"/>
      <c r="I686" s="1393"/>
      <c r="J686" s="1393"/>
      <c r="K686" s="1393"/>
      <c r="L686" s="1393"/>
      <c r="M686" s="1393"/>
      <c r="N686" s="1393"/>
      <c r="O686" s="1393"/>
      <c r="P686" s="1393"/>
      <c r="Q686" s="1393"/>
      <c r="R686" s="1393"/>
      <c r="U686" t="s">
        <v>17</v>
      </c>
      <c r="Z686" s="1397"/>
      <c r="AA686" s="1397"/>
      <c r="AB686" s="1397"/>
      <c r="AC686" s="1397"/>
      <c r="AD686" s="1397"/>
      <c r="AE686" s="1397"/>
      <c r="AF686" s="1397"/>
      <c r="AG686" s="1397"/>
      <c r="AH686" s="1397"/>
      <c r="AI686" s="1397"/>
      <c r="AJ686" s="1397"/>
      <c r="AK686" s="1397"/>
      <c r="AZ686" s="3"/>
    </row>
    <row r="687" spans="1:52" ht="12.95" customHeight="1">
      <c r="B687" t="s">
        <v>315</v>
      </c>
      <c r="G687" s="1505"/>
      <c r="H687" s="1505"/>
      <c r="I687" s="1505"/>
      <c r="J687" s="1505"/>
      <c r="K687" s="1505"/>
      <c r="L687" s="1505"/>
      <c r="O687" s="33" t="s">
        <v>205</v>
      </c>
      <c r="P687" s="1483"/>
      <c r="Q687" s="1483"/>
      <c r="R687" s="1483"/>
      <c r="U687" t="s">
        <v>315</v>
      </c>
      <c r="Z687" s="1505"/>
      <c r="AA687" s="1505"/>
      <c r="AB687" s="1505"/>
      <c r="AC687" s="1505"/>
      <c r="AD687" s="1505"/>
      <c r="AE687" s="1505"/>
      <c r="AH687" s="33" t="s">
        <v>205</v>
      </c>
      <c r="AI687" s="1483"/>
      <c r="AJ687" s="1483"/>
      <c r="AK687" s="1483"/>
      <c r="AZ687" s="3"/>
    </row>
    <row r="688" spans="1:52" ht="12.95" customHeight="1">
      <c r="B688" t="s">
        <v>18</v>
      </c>
      <c r="H688" s="1393"/>
      <c r="I688" s="1393"/>
      <c r="J688" s="1393"/>
      <c r="K688" s="1393"/>
      <c r="L688" s="1393"/>
      <c r="M688" s="1393"/>
      <c r="N688" s="1393"/>
      <c r="O688" s="1393"/>
      <c r="P688" s="1393"/>
      <c r="Q688" s="1393"/>
      <c r="R688" s="1393"/>
      <c r="U688" t="s">
        <v>18</v>
      </c>
      <c r="AA688" s="1393"/>
      <c r="AB688" s="1393"/>
      <c r="AC688" s="1393"/>
      <c r="AD688" s="1393"/>
      <c r="AE688" s="1393"/>
      <c r="AF688" s="1393"/>
      <c r="AG688" s="1393"/>
      <c r="AH688" s="1393"/>
      <c r="AI688" s="1393"/>
      <c r="AJ688" s="1393"/>
      <c r="AK688" s="1393"/>
      <c r="AZ688" s="3"/>
    </row>
    <row r="689" spans="1:67" ht="12.95" customHeight="1">
      <c r="B689" t="s">
        <v>20</v>
      </c>
      <c r="N689" s="1379" t="s">
        <v>669</v>
      </c>
      <c r="O689" s="1379"/>
      <c r="U689" t="s">
        <v>20</v>
      </c>
      <c r="AG689" s="1379" t="s">
        <v>669</v>
      </c>
      <c r="AH689" s="1379"/>
      <c r="AZ689" s="3"/>
    </row>
    <row r="690" spans="1:67" ht="12.95" customHeight="1">
      <c r="AZ690" s="3"/>
    </row>
    <row r="691" spans="1:67" ht="12.95" customHeight="1">
      <c r="A691" s="2" t="s">
        <v>576</v>
      </c>
      <c r="C691" s="2" t="s">
        <v>326</v>
      </c>
      <c r="E691" s="130"/>
      <c r="F691" s="130"/>
      <c r="G691" s="130"/>
      <c r="H691" s="130"/>
      <c r="AZ691" s="3"/>
    </row>
    <row r="692" spans="1:67" ht="12.95" customHeight="1">
      <c r="B692" s="135"/>
      <c r="C692" s="135"/>
      <c r="D692" s="136" t="s">
        <v>433</v>
      </c>
      <c r="E692" s="135"/>
      <c r="F692" s="135"/>
      <c r="G692" s="135"/>
      <c r="H692" s="135"/>
      <c r="AZ692" s="3"/>
    </row>
    <row r="693" spans="1:67" ht="12.95" customHeight="1">
      <c r="B693" s="135"/>
      <c r="C693" s="135"/>
      <c r="E693" s="136" t="s">
        <v>434</v>
      </c>
      <c r="F693" s="135"/>
      <c r="G693" s="135"/>
      <c r="H693" s="135"/>
      <c r="AE693" s="1379" t="s">
        <v>545</v>
      </c>
      <c r="AF693" s="1379"/>
      <c r="AZ693" s="3"/>
    </row>
    <row r="694" spans="1:67" ht="12.95" customHeight="1">
      <c r="B694" s="135"/>
      <c r="C694" s="135"/>
      <c r="D694" s="136" t="s">
        <v>437</v>
      </c>
      <c r="E694" s="135"/>
      <c r="F694" s="135"/>
      <c r="G694" s="135"/>
      <c r="H694" s="135"/>
      <c r="AE694" s="1379" t="s">
        <v>669</v>
      </c>
      <c r="AF694" s="1379"/>
      <c r="AZ694" s="3"/>
    </row>
    <row r="695" spans="1:67" ht="12.95" customHeight="1">
      <c r="B695" s="135"/>
      <c r="C695" s="135"/>
      <c r="D695" s="136" t="s">
        <v>920</v>
      </c>
      <c r="E695" s="135"/>
      <c r="F695" s="135"/>
      <c r="G695" s="135"/>
      <c r="H695" s="135"/>
      <c r="AE695" s="1674">
        <v>45797</v>
      </c>
      <c r="AF695" s="1674"/>
      <c r="AG695" s="1674"/>
      <c r="AH695" s="1674"/>
      <c r="AI695" s="1674"/>
    </row>
    <row r="696" spans="1:67" ht="12.95" customHeight="1">
      <c r="B696" s="135"/>
      <c r="C696" s="135"/>
      <c r="D696" s="317" t="s">
        <v>982</v>
      </c>
      <c r="E696" s="135"/>
      <c r="F696" s="135"/>
      <c r="G696" s="135"/>
      <c r="H696" s="135"/>
      <c r="AE696" s="1816">
        <v>45874</v>
      </c>
      <c r="AF696" s="1816"/>
      <c r="AG696" s="1816"/>
      <c r="AH696" s="1816"/>
      <c r="AI696" s="1816"/>
    </row>
    <row r="697" spans="1:67" ht="12.95" customHeight="1">
      <c r="B697" s="135"/>
      <c r="C697" s="135"/>
    </row>
    <row r="698" spans="1:67" ht="12.95" customHeight="1">
      <c r="B698" s="135"/>
      <c r="C698" s="135"/>
      <c r="D698" s="136" t="s">
        <v>816</v>
      </c>
      <c r="E698" s="135"/>
      <c r="F698" s="135"/>
      <c r="G698" s="135"/>
      <c r="H698" s="135"/>
      <c r="AE698" s="1674">
        <v>46023</v>
      </c>
      <c r="AF698" s="1674"/>
      <c r="AG698" s="1674"/>
      <c r="AH698" s="1674"/>
      <c r="AI698" s="1674"/>
    </row>
    <row r="699" spans="1:67" ht="12.95" customHeight="1">
      <c r="B699" s="135"/>
      <c r="C699" s="135"/>
      <c r="D699" s="136" t="s">
        <v>435</v>
      </c>
      <c r="E699" s="135"/>
      <c r="F699" s="135"/>
      <c r="G699" s="135"/>
      <c r="H699" s="135"/>
      <c r="AE699" s="1448">
        <f>AM554/('Sources and Uses Budget'!S107+'Sources and Uses Budget'!C4+'Sources and Uses Budget'!C6)</f>
        <v>0.53079225544846753</v>
      </c>
      <c r="AF699" s="1658"/>
      <c r="AG699" s="1658"/>
      <c r="AH699" s="1658"/>
      <c r="AI699" s="1658"/>
    </row>
    <row r="700" spans="1:67" ht="12.95" customHeight="1">
      <c r="B700" s="135"/>
      <c r="C700" s="135"/>
      <c r="D700" s="136" t="s">
        <v>436</v>
      </c>
      <c r="E700" s="135"/>
      <c r="F700" s="135"/>
      <c r="G700" s="135"/>
      <c r="H700" s="135"/>
      <c r="W700" s="1389" t="str">
        <f>H335</f>
        <v>California Housing Finance Agency</v>
      </c>
      <c r="X700" s="1389"/>
      <c r="Y700" s="1389"/>
      <c r="Z700" s="1389"/>
      <c r="AA700" s="1389"/>
      <c r="AB700" s="1389"/>
      <c r="AC700" s="1389"/>
      <c r="AD700" s="1389"/>
      <c r="AE700" s="1389"/>
      <c r="AF700" s="1389"/>
      <c r="AG700" s="1389"/>
      <c r="AH700" s="1389"/>
      <c r="AI700" s="1389"/>
      <c r="AJ700" s="1389"/>
      <c r="AK700" s="1389"/>
    </row>
    <row r="701" spans="1:67" ht="12.95" customHeight="1">
      <c r="B701" s="135"/>
      <c r="C701" s="135"/>
      <c r="D701" s="136"/>
      <c r="E701" s="135"/>
      <c r="F701" s="135"/>
      <c r="G701" s="135"/>
      <c r="H701" s="135"/>
    </row>
    <row r="702" spans="1:67" ht="12.95" customHeight="1">
      <c r="B702" s="135"/>
      <c r="C702" s="135"/>
      <c r="D702" s="136" t="s">
        <v>438</v>
      </c>
      <c r="E702" s="135"/>
      <c r="F702" s="135"/>
      <c r="G702" s="135"/>
      <c r="H702" s="135"/>
      <c r="AE702" s="1379" t="s">
        <v>669</v>
      </c>
      <c r="AF702" s="1379"/>
      <c r="AZ702" s="4" t="s">
        <v>323</v>
      </c>
    </row>
    <row r="703" spans="1:67" ht="12.95" customHeight="1">
      <c r="B703" s="135"/>
      <c r="C703" s="135"/>
      <c r="D703" s="136" t="s">
        <v>442</v>
      </c>
      <c r="E703" s="135"/>
      <c r="F703" s="135"/>
      <c r="G703" s="135"/>
      <c r="H703" s="135"/>
      <c r="W703" s="1393"/>
      <c r="X703" s="1393"/>
      <c r="Y703" s="1393"/>
      <c r="Z703" s="1393"/>
      <c r="AA703" s="1393"/>
      <c r="AB703" s="1393"/>
      <c r="AC703" s="1393"/>
      <c r="AD703" s="1393"/>
      <c r="AE703" s="1393"/>
      <c r="AF703" s="1393"/>
      <c r="AG703" s="1393"/>
      <c r="AH703" s="1393"/>
      <c r="AI703" s="1393"/>
      <c r="AJ703" s="1393"/>
      <c r="AK703" s="1393"/>
      <c r="AZ703" s="4" t="s">
        <v>324</v>
      </c>
    </row>
    <row r="704" spans="1:67" ht="12.95" customHeight="1">
      <c r="B704" s="135"/>
      <c r="C704" s="135"/>
      <c r="D704" s="136" t="s">
        <v>87</v>
      </c>
      <c r="E704" s="135"/>
      <c r="F704" s="135"/>
      <c r="G704" s="135"/>
      <c r="H704" s="135"/>
      <c r="J704" s="1393"/>
      <c r="K704" s="1393"/>
      <c r="L704" s="1393"/>
      <c r="M704" s="1393"/>
      <c r="N704" s="1393"/>
      <c r="O704" s="1393"/>
      <c r="P704" s="1393"/>
      <c r="Q704" s="1393"/>
      <c r="R704" s="1393"/>
      <c r="S704" s="1393"/>
      <c r="T704" s="1393"/>
      <c r="U704" s="1393"/>
      <c r="V704" s="1393"/>
      <c r="W704" s="1393"/>
      <c r="X704" s="1393"/>
      <c r="AZ704" s="4" t="s">
        <v>163</v>
      </c>
      <c r="BB704" s="34"/>
      <c r="BC704" s="34"/>
      <c r="BD704" s="34"/>
      <c r="BE704" s="3"/>
      <c r="BF704" s="3"/>
      <c r="BJ704" s="3"/>
      <c r="BK704" s="3"/>
      <c r="BL704" s="3"/>
      <c r="BM704" s="3"/>
      <c r="BN704" s="34"/>
      <c r="BO704" s="34"/>
    </row>
    <row r="705" spans="1:185" ht="12.95" customHeight="1">
      <c r="B705" s="135"/>
      <c r="C705" s="135"/>
      <c r="D705" s="136" t="s">
        <v>88</v>
      </c>
      <c r="J705" s="1505"/>
      <c r="K705" s="1505"/>
      <c r="L705" s="1505"/>
      <c r="M705" s="1505"/>
      <c r="N705" s="1505"/>
      <c r="O705" s="1505"/>
      <c r="P705" s="4" t="s">
        <v>205</v>
      </c>
      <c r="Q705" s="4"/>
      <c r="R705" s="1483"/>
      <c r="S705" s="1483"/>
      <c r="T705" s="1483"/>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5" customHeight="1">
      <c r="B706" s="135"/>
      <c r="C706" s="135"/>
      <c r="D706" s="136" t="s">
        <v>443</v>
      </c>
      <c r="W706" s="1393" t="s">
        <v>306</v>
      </c>
      <c r="X706" s="1393"/>
      <c r="Y706" s="1393"/>
      <c r="Z706" s="1393"/>
      <c r="AA706" s="1393"/>
      <c r="AB706" s="1393"/>
      <c r="AC706" s="1393"/>
      <c r="AD706" s="1393"/>
      <c r="AE706" s="1393"/>
      <c r="AF706" s="1393"/>
      <c r="AG706" s="1393"/>
      <c r="AH706" s="1393"/>
      <c r="AI706" s="1393"/>
      <c r="AJ706" s="1393"/>
      <c r="AK706" s="1393"/>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5" customHeight="1">
      <c r="B707" s="135"/>
      <c r="C707" s="135"/>
      <c r="D707" s="136"/>
      <c r="E707" s="1393" t="s">
        <v>333</v>
      </c>
      <c r="F707" s="1393"/>
      <c r="G707" s="1393"/>
      <c r="H707" s="1393"/>
      <c r="I707" s="1393"/>
      <c r="J707" s="1393"/>
      <c r="K707" s="1393"/>
      <c r="L707" s="1393"/>
      <c r="M707" s="1393"/>
      <c r="N707" s="1393"/>
      <c r="O707" s="1393"/>
      <c r="P707" s="1393"/>
      <c r="Q707" s="1393"/>
      <c r="R707" s="1393"/>
      <c r="S707" s="1393"/>
      <c r="T707" s="1393"/>
      <c r="U707" s="1393"/>
      <c r="V707" s="1393"/>
      <c r="W707" s="1393"/>
      <c r="X707" s="1393"/>
      <c r="Y707" s="1393"/>
      <c r="Z707" s="1393"/>
      <c r="AA707" s="1393"/>
      <c r="AB707" s="1393"/>
      <c r="AC707" s="1393"/>
      <c r="AD707" s="1393"/>
      <c r="AE707" s="1393"/>
      <c r="AF707" s="1393"/>
      <c r="AG707" s="1393"/>
      <c r="AH707" s="1393"/>
      <c r="AI707" s="1393"/>
      <c r="AJ707" s="1393"/>
      <c r="AK707" s="1393"/>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5" customHeight="1">
      <c r="A709" s="1261" t="s">
        <v>95</v>
      </c>
      <c r="B709" s="1261"/>
      <c r="C709" s="1261"/>
      <c r="D709" s="1261"/>
      <c r="E709" s="1261"/>
      <c r="F709" s="1261"/>
      <c r="G709" s="1261"/>
      <c r="H709" s="1261"/>
      <c r="I709" s="1261"/>
      <c r="J709" s="1261"/>
      <c r="K709" s="1261"/>
      <c r="L709" s="1261"/>
      <c r="M709" s="1261"/>
      <c r="N709" s="1261"/>
      <c r="O709" s="1261"/>
      <c r="P709" s="1261"/>
      <c r="Q709" s="1261"/>
      <c r="R709" s="1261"/>
      <c r="S709" s="1261"/>
      <c r="T709" s="1261"/>
      <c r="U709" s="1261"/>
      <c r="V709" s="1261"/>
      <c r="W709" s="1261"/>
      <c r="X709" s="1261"/>
      <c r="Y709" s="1261"/>
      <c r="Z709" s="1261"/>
      <c r="AA709" s="1261"/>
      <c r="AB709" s="1261"/>
      <c r="AC709" s="1261"/>
      <c r="AD709" s="1261"/>
      <c r="AE709" s="1261"/>
      <c r="AF709" s="1261"/>
      <c r="AG709" s="1261"/>
      <c r="AH709" s="1261"/>
      <c r="AI709" s="1261"/>
      <c r="AJ709" s="1261"/>
      <c r="AK709" s="1261"/>
      <c r="AL709" s="1261"/>
      <c r="AM709" s="1261"/>
      <c r="AN709" s="1261"/>
      <c r="AO709" s="1261"/>
      <c r="AP709" s="1261"/>
      <c r="AQ709" s="1261"/>
      <c r="AR709" s="1261"/>
      <c r="AS709" s="1261"/>
      <c r="AT709" s="1261"/>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5" customHeight="1">
      <c r="A710" s="1261"/>
      <c r="B710" s="1261"/>
      <c r="C710" s="1261"/>
      <c r="D710" s="1261"/>
      <c r="E710" s="1261"/>
      <c r="F710" s="1261"/>
      <c r="G710" s="1261"/>
      <c r="H710" s="1261"/>
      <c r="I710" s="1261"/>
      <c r="J710" s="1261"/>
      <c r="K710" s="1261"/>
      <c r="L710" s="1261"/>
      <c r="M710" s="1261"/>
      <c r="N710" s="1261"/>
      <c r="O710" s="1261"/>
      <c r="P710" s="1261"/>
      <c r="Q710" s="1261"/>
      <c r="R710" s="1261"/>
      <c r="S710" s="1261"/>
      <c r="T710" s="1261"/>
      <c r="U710" s="1261"/>
      <c r="V710" s="1261"/>
      <c r="W710" s="1261"/>
      <c r="X710" s="1261"/>
      <c r="Y710" s="1261"/>
      <c r="Z710" s="1261"/>
      <c r="AA710" s="1261"/>
      <c r="AB710" s="1261"/>
      <c r="AC710" s="1261"/>
      <c r="AD710" s="1261"/>
      <c r="AE710" s="1261"/>
      <c r="AF710" s="1261"/>
      <c r="AG710" s="1261"/>
      <c r="AH710" s="1261"/>
      <c r="AI710" s="1261"/>
      <c r="AJ710" s="1261"/>
      <c r="AK710" s="1261"/>
      <c r="AL710" s="1261"/>
      <c r="AM710" s="1261"/>
      <c r="AN710" s="1261"/>
      <c r="AO710" s="1261"/>
      <c r="AP710" s="1261"/>
      <c r="AQ710" s="1261"/>
      <c r="AR710" s="1261"/>
      <c r="AS710" s="1261"/>
      <c r="AT710" s="1261"/>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5" customHeight="1">
      <c r="A711" s="1261"/>
      <c r="B711" s="1261"/>
      <c r="C711" s="1261"/>
      <c r="D711" s="1261"/>
      <c r="E711" s="1261"/>
      <c r="F711" s="1261"/>
      <c r="G711" s="1261"/>
      <c r="H711" s="1261"/>
      <c r="I711" s="1261"/>
      <c r="J711" s="1261"/>
      <c r="K711" s="1261"/>
      <c r="L711" s="1261"/>
      <c r="M711" s="1261"/>
      <c r="N711" s="1261"/>
      <c r="O711" s="1261"/>
      <c r="P711" s="1261"/>
      <c r="Q711" s="1261"/>
      <c r="R711" s="1261"/>
      <c r="S711" s="1261"/>
      <c r="T711" s="1261"/>
      <c r="U711" s="1261"/>
      <c r="V711" s="1261"/>
      <c r="W711" s="1261"/>
      <c r="X711" s="1261"/>
      <c r="Y711" s="1261"/>
      <c r="Z711" s="1261"/>
      <c r="AA711" s="1261"/>
      <c r="AB711" s="1261"/>
      <c r="AC711" s="1261"/>
      <c r="AD711" s="1261"/>
      <c r="AE711" s="1261"/>
      <c r="AF711" s="1261"/>
      <c r="AG711" s="1261"/>
      <c r="AH711" s="1261"/>
      <c r="AI711" s="1261"/>
      <c r="AJ711" s="1261"/>
      <c r="AK711" s="1261"/>
      <c r="AL711" s="1261"/>
      <c r="AM711" s="1261"/>
      <c r="AN711" s="1261"/>
      <c r="AO711" s="1261"/>
      <c r="AP711" s="1261"/>
      <c r="AQ711" s="1261"/>
      <c r="AR711" s="1261"/>
      <c r="AS711" s="1261"/>
      <c r="AT711" s="1261"/>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5" customHeight="1">
      <c r="A712" s="2" t="s">
        <v>318</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5"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5" customHeight="1">
      <c r="B714" s="1424" t="s">
        <v>388</v>
      </c>
      <c r="C714" s="1425"/>
      <c r="D714" s="1425"/>
      <c r="E714" s="1425"/>
      <c r="F714" s="1426"/>
      <c r="G714" s="1424" t="s">
        <v>284</v>
      </c>
      <c r="H714" s="1425"/>
      <c r="I714" s="1425"/>
      <c r="J714" s="1426"/>
      <c r="K714" s="1704" t="s">
        <v>1678</v>
      </c>
      <c r="L714" s="1705"/>
      <c r="M714" s="1705"/>
      <c r="N714" s="1706"/>
      <c r="O714" s="1424" t="s">
        <v>447</v>
      </c>
      <c r="P714" s="1425"/>
      <c r="Q714" s="1425"/>
      <c r="R714" s="1425"/>
      <c r="S714" s="1426"/>
      <c r="T714" s="1656" t="s">
        <v>1949</v>
      </c>
      <c r="U714" s="1425"/>
      <c r="V714" s="1425"/>
      <c r="W714" s="1426"/>
      <c r="X714" s="1656" t="s">
        <v>1951</v>
      </c>
      <c r="Y714" s="1425"/>
      <c r="Z714" s="1425"/>
      <c r="AA714" s="1425"/>
      <c r="AB714" s="1426"/>
      <c r="AC714" s="1656" t="s">
        <v>1950</v>
      </c>
      <c r="AD714" s="1425"/>
      <c r="AE714" s="1425"/>
      <c r="AF714" s="1425"/>
      <c r="AG714" s="1426"/>
      <c r="AH714" s="1656" t="s">
        <v>1952</v>
      </c>
      <c r="AI714" s="1425"/>
      <c r="AJ714" s="1426"/>
      <c r="AK714" s="1656" t="s">
        <v>1979</v>
      </c>
      <c r="AL714" s="1425"/>
      <c r="AM714" s="1425"/>
      <c r="AN714" s="1425"/>
      <c r="AO714" s="1426"/>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5" customHeight="1">
      <c r="B715" s="1427"/>
      <c r="C715" s="1428"/>
      <c r="D715" s="1428"/>
      <c r="E715" s="1428"/>
      <c r="F715" s="1429"/>
      <c r="G715" s="1427"/>
      <c r="H715" s="1428"/>
      <c r="I715" s="1428"/>
      <c r="J715" s="1429"/>
      <c r="K715" s="1707"/>
      <c r="L715" s="1708"/>
      <c r="M715" s="1708"/>
      <c r="N715" s="1709"/>
      <c r="O715" s="1427"/>
      <c r="P715" s="1428"/>
      <c r="Q715" s="1428"/>
      <c r="R715" s="1428"/>
      <c r="S715" s="1429"/>
      <c r="T715" s="1427"/>
      <c r="U715" s="1428"/>
      <c r="V715" s="1428"/>
      <c r="W715" s="1429"/>
      <c r="X715" s="1427"/>
      <c r="Y715" s="1428"/>
      <c r="Z715" s="1428"/>
      <c r="AA715" s="1428"/>
      <c r="AB715" s="1429"/>
      <c r="AC715" s="1427"/>
      <c r="AD715" s="1428"/>
      <c r="AE715" s="1428"/>
      <c r="AF715" s="1428"/>
      <c r="AG715" s="1429"/>
      <c r="AH715" s="1427"/>
      <c r="AI715" s="1428"/>
      <c r="AJ715" s="1429"/>
      <c r="AK715" s="1427"/>
      <c r="AL715" s="1428"/>
      <c r="AM715" s="1428"/>
      <c r="AN715" s="1428"/>
      <c r="AO715" s="1429"/>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5" customHeight="1">
      <c r="A716" s="4"/>
      <c r="B716" s="1427"/>
      <c r="C716" s="1428"/>
      <c r="D716" s="1428"/>
      <c r="E716" s="1428"/>
      <c r="F716" s="1429"/>
      <c r="G716" s="1427"/>
      <c r="H716" s="1428"/>
      <c r="I716" s="1428"/>
      <c r="J716" s="1429"/>
      <c r="K716" s="1707"/>
      <c r="L716" s="1708"/>
      <c r="M716" s="1708"/>
      <c r="N716" s="1709"/>
      <c r="O716" s="1427"/>
      <c r="P716" s="1428"/>
      <c r="Q716" s="1428"/>
      <c r="R716" s="1428"/>
      <c r="S716" s="1429"/>
      <c r="T716" s="1427"/>
      <c r="U716" s="1428"/>
      <c r="V716" s="1428"/>
      <c r="W716" s="1429"/>
      <c r="X716" s="1427"/>
      <c r="Y716" s="1428"/>
      <c r="Z716" s="1428"/>
      <c r="AA716" s="1428"/>
      <c r="AB716" s="1429"/>
      <c r="AC716" s="1427"/>
      <c r="AD716" s="1428"/>
      <c r="AE716" s="1428"/>
      <c r="AF716" s="1428"/>
      <c r="AG716" s="1429"/>
      <c r="AH716" s="1427"/>
      <c r="AI716" s="1428"/>
      <c r="AJ716" s="1429"/>
      <c r="AK716" s="1427"/>
      <c r="AL716" s="1428"/>
      <c r="AM716" s="1428"/>
      <c r="AN716" s="1428"/>
      <c r="AO716" s="1429"/>
      <c r="AP716" s="3"/>
      <c r="AQ716" s="3"/>
      <c r="AR716" s="3"/>
      <c r="AS716" s="3"/>
      <c r="BA716" s="3"/>
      <c r="BB716" s="3"/>
      <c r="BC716" s="3"/>
      <c r="BD716" s="3"/>
      <c r="BE716" s="204"/>
      <c r="BF716" s="205" t="s">
        <v>895</v>
      </c>
      <c r="BG716" s="204"/>
      <c r="BH716" s="204"/>
      <c r="BI716" s="3"/>
      <c r="BJ716" s="3"/>
      <c r="BK716" s="3"/>
      <c r="BL716" s="3"/>
      <c r="BM716" s="3"/>
      <c r="BN716" s="3"/>
      <c r="BS716" s="205" t="s">
        <v>1627</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359</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1842</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5" customHeight="1">
      <c r="A717" s="4"/>
      <c r="B717" s="1430"/>
      <c r="C717" s="1431"/>
      <c r="D717" s="1431"/>
      <c r="E717" s="1431"/>
      <c r="F717" s="1432"/>
      <c r="G717" s="1430"/>
      <c r="H717" s="1431"/>
      <c r="I717" s="1431"/>
      <c r="J717" s="1432"/>
      <c r="K717" s="1707"/>
      <c r="L717" s="1708"/>
      <c r="M717" s="1708"/>
      <c r="N717" s="1709"/>
      <c r="O717" s="1430"/>
      <c r="P717" s="1431"/>
      <c r="Q717" s="1431"/>
      <c r="R717" s="1431"/>
      <c r="S717" s="1432"/>
      <c r="T717" s="1430"/>
      <c r="U717" s="1431"/>
      <c r="V717" s="1431"/>
      <c r="W717" s="1432"/>
      <c r="X717" s="1430"/>
      <c r="Y717" s="1431"/>
      <c r="Z717" s="1431"/>
      <c r="AA717" s="1431"/>
      <c r="AB717" s="1432"/>
      <c r="AC717" s="1430"/>
      <c r="AD717" s="1431"/>
      <c r="AE717" s="1431"/>
      <c r="AF717" s="1431"/>
      <c r="AG717" s="1432"/>
      <c r="AH717" s="1430"/>
      <c r="AI717" s="1431"/>
      <c r="AJ717" s="1432"/>
      <c r="AK717" s="1430"/>
      <c r="AL717" s="1431"/>
      <c r="AM717" s="1431"/>
      <c r="AN717" s="1431"/>
      <c r="AO717" s="1432"/>
      <c r="AP717" s="3"/>
      <c r="AQ717" s="3"/>
      <c r="AR717" s="3"/>
      <c r="AS717" s="3"/>
      <c r="AZ717" s="166" t="s">
        <v>649</v>
      </c>
      <c r="BA717" s="3"/>
      <c r="BB717" s="3"/>
      <c r="BC717" s="3"/>
      <c r="BD717" s="3"/>
      <c r="BE717" s="204"/>
      <c r="BF717" s="291" t="s">
        <v>896</v>
      </c>
      <c r="BG717" s="296" t="s">
        <v>897</v>
      </c>
      <c r="BH717" s="295" t="s">
        <v>898</v>
      </c>
      <c r="BI717" s="3"/>
      <c r="BJ717" s="3"/>
      <c r="BK717" s="3"/>
      <c r="BL717" s="3"/>
      <c r="BM717" s="3"/>
      <c r="BN717" s="3"/>
      <c r="BS717" s="291" t="s">
        <v>896</v>
      </c>
      <c r="BT717" s="296" t="s">
        <v>897</v>
      </c>
      <c r="BU717" s="295" t="s">
        <v>898</v>
      </c>
      <c r="CC717" s="3"/>
      <c r="CD717" s="3"/>
      <c r="CE717" s="3"/>
      <c r="CF717" s="3"/>
      <c r="CG717" s="121" t="s">
        <v>474</v>
      </c>
      <c r="CH717" s="122"/>
      <c r="CI717" s="1508"/>
      <c r="CJ717" s="1509"/>
      <c r="CK717" s="121" t="s">
        <v>475</v>
      </c>
      <c r="CL717" s="122"/>
      <c r="CM717" s="1508"/>
      <c r="CN717" s="1509"/>
      <c r="CO717" s="3"/>
      <c r="CP717" s="1356" t="s">
        <v>633</v>
      </c>
      <c r="CQ717" s="1357"/>
      <c r="CR717" s="1357"/>
      <c r="CS717" s="1357"/>
      <c r="CT717" s="1358"/>
      <c r="CU717" s="1506" t="s">
        <v>324</v>
      </c>
      <c r="CV717" s="1506"/>
      <c r="CW717" s="1506"/>
      <c r="CX717" s="1506"/>
      <c r="CY717" s="1506"/>
      <c r="CZ717" s="1506" t="s">
        <v>163</v>
      </c>
      <c r="DA717" s="1506"/>
      <c r="DB717" s="1506"/>
      <c r="DC717" s="1506"/>
      <c r="DD717" s="1506"/>
      <c r="DE717" s="1506" t="s">
        <v>164</v>
      </c>
      <c r="DF717" s="1506"/>
      <c r="DG717" s="1506"/>
      <c r="DH717" s="1506"/>
      <c r="DI717" s="1506"/>
      <c r="DJ717" s="1506" t="s">
        <v>460</v>
      </c>
      <c r="DK717" s="1506"/>
      <c r="DL717" s="1506"/>
      <c r="DM717" s="1506"/>
      <c r="DN717" s="1506"/>
      <c r="DO717" s="1506" t="s">
        <v>30</v>
      </c>
      <c r="DP717" s="1506"/>
      <c r="DQ717" s="1506"/>
      <c r="DR717" s="1506"/>
      <c r="DS717" s="1506"/>
      <c r="DT717" s="89"/>
      <c r="DU717" s="1506" t="s">
        <v>633</v>
      </c>
      <c r="DV717" s="1506"/>
      <c r="DW717" s="1506"/>
      <c r="DX717" s="1506"/>
      <c r="DY717" s="1506"/>
      <c r="DZ717" s="1506" t="s">
        <v>324</v>
      </c>
      <c r="EA717" s="1506"/>
      <c r="EB717" s="1506"/>
      <c r="EC717" s="1506"/>
      <c r="ED717" s="1506"/>
      <c r="EE717" s="1506" t="s">
        <v>163</v>
      </c>
      <c r="EF717" s="1506"/>
      <c r="EG717" s="1506"/>
      <c r="EH717" s="1506"/>
      <c r="EI717" s="1506"/>
      <c r="EJ717" s="1506" t="s">
        <v>164</v>
      </c>
      <c r="EK717" s="1506"/>
      <c r="EL717" s="1506"/>
      <c r="EM717" s="1506"/>
      <c r="EN717" s="1506"/>
      <c r="EO717" s="1506" t="s">
        <v>460</v>
      </c>
      <c r="EP717" s="1506"/>
      <c r="EQ717" s="1506"/>
      <c r="ER717" s="1506"/>
      <c r="ES717" s="1506"/>
      <c r="ET717" s="1506" t="s">
        <v>30</v>
      </c>
      <c r="EU717" s="1506"/>
      <c r="EV717" s="1506"/>
      <c r="EW717" s="1506"/>
      <c r="EX717" s="1506"/>
      <c r="EY717" s="4"/>
      <c r="EZ717" s="1506" t="s">
        <v>633</v>
      </c>
      <c r="FA717" s="1506"/>
      <c r="FB717" s="1506"/>
      <c r="FC717" s="1506"/>
      <c r="FD717" s="1506"/>
      <c r="FE717" s="1506" t="s">
        <v>324</v>
      </c>
      <c r="FF717" s="1506"/>
      <c r="FG717" s="1506"/>
      <c r="FH717" s="1506"/>
      <c r="FI717" s="1506"/>
      <c r="FJ717" s="1506" t="s">
        <v>163</v>
      </c>
      <c r="FK717" s="1506"/>
      <c r="FL717" s="1506"/>
      <c r="FM717" s="1506"/>
      <c r="FN717" s="1506"/>
      <c r="FO717" s="1506" t="s">
        <v>164</v>
      </c>
      <c r="FP717" s="1506"/>
      <c r="FQ717" s="1506"/>
      <c r="FR717" s="1506"/>
      <c r="FS717" s="1506"/>
      <c r="FT717" s="1506" t="s">
        <v>460</v>
      </c>
      <c r="FU717" s="1506"/>
      <c r="FV717" s="1506"/>
      <c r="FW717" s="1506"/>
      <c r="FX717" s="1506"/>
      <c r="FY717" s="1506" t="s">
        <v>30</v>
      </c>
      <c r="FZ717" s="1506"/>
      <c r="GA717" s="1506"/>
      <c r="GB717" s="1506"/>
      <c r="GC717" s="1506"/>
    </row>
    <row r="718" spans="1:185" ht="12.95" customHeight="1">
      <c r="A718" s="4"/>
      <c r="B718" s="1394" t="s">
        <v>323</v>
      </c>
      <c r="C718" s="1395"/>
      <c r="D718" s="1395"/>
      <c r="E718" s="1395"/>
      <c r="F718" s="1396"/>
      <c r="G718" s="1398">
        <v>28</v>
      </c>
      <c r="H718" s="1399"/>
      <c r="I718" s="1399"/>
      <c r="J718" s="1400"/>
      <c r="K718" s="1390">
        <v>345</v>
      </c>
      <c r="L718" s="1391"/>
      <c r="M718" s="1391"/>
      <c r="N718" s="1392"/>
      <c r="O718" s="1383">
        <v>868</v>
      </c>
      <c r="P718" s="1384"/>
      <c r="Q718" s="1384"/>
      <c r="R718" s="1384"/>
      <c r="S718" s="1385"/>
      <c r="T718" s="1383">
        <v>0</v>
      </c>
      <c r="U718" s="1384"/>
      <c r="V718" s="1384"/>
      <c r="W718" s="1385"/>
      <c r="X718" s="1401">
        <f t="shared" ref="X718:X741" si="8">O718+T718</f>
        <v>868</v>
      </c>
      <c r="Y718" s="1402"/>
      <c r="Z718" s="1402"/>
      <c r="AA718" s="1402"/>
      <c r="AB718" s="1403"/>
      <c r="AC718" s="1421">
        <v>0.3</v>
      </c>
      <c r="AD718" s="1422"/>
      <c r="AE718" s="1422"/>
      <c r="AF718" s="1422"/>
      <c r="AG718" s="1423"/>
      <c r="AH718" s="1404">
        <f>IF($AC718&gt;0,($X718/$AZ718), "")</f>
        <v>0.29993089149965446</v>
      </c>
      <c r="AI718" s="1405"/>
      <c r="AJ718" s="1406"/>
      <c r="AK718" s="1394" t="s">
        <v>591</v>
      </c>
      <c r="AL718" s="1395"/>
      <c r="AM718" s="1395"/>
      <c r="AN718" s="1395"/>
      <c r="AO718" s="1396"/>
      <c r="AP718" s="3"/>
      <c r="AQ718" s="3"/>
      <c r="AR718" s="3"/>
      <c r="AS718" s="3"/>
      <c r="AZ718" s="118">
        <f t="shared" ref="AZ718:AZ752" si="9">IF($G718=0,"N/A",VLOOKUP($T$189,TC_Rent,(MATCH($B718,bedrooms,FALSE)),FALSE))</f>
        <v>2894</v>
      </c>
      <c r="BA718" s="3"/>
      <c r="BB718" s="3"/>
      <c r="BC718" s="3"/>
      <c r="BD718" s="3"/>
      <c r="BE718" s="204"/>
      <c r="BF718" s="293">
        <f t="shared" ref="BF718:BF752" si="10">G718</f>
        <v>28</v>
      </c>
      <c r="BG718" s="297">
        <f t="shared" ref="BG718:BG752" si="11">IF($BF$753=0,0,BF718/$BF$753)</f>
        <v>0.10408921933085502</v>
      </c>
      <c r="BH718" s="298">
        <f t="shared" ref="BH718:BH752" si="12">IF(BG718=0,"",BG718*AC718)</f>
        <v>3.1226765799256505E-2</v>
      </c>
      <c r="BI718" s="3"/>
      <c r="BJ718" s="3"/>
      <c r="BK718" s="3"/>
      <c r="BL718" s="3"/>
      <c r="BM718" s="3"/>
      <c r="BN718" s="3"/>
      <c r="BS718" s="293">
        <f t="shared" ref="BS718:BS752" si="13">G718</f>
        <v>28</v>
      </c>
      <c r="BT718" s="297">
        <f t="shared" ref="BT718:BT752" si="14">IF($BS$753=0,0,BS718/$BS$753)</f>
        <v>0.10408921933085502</v>
      </c>
      <c r="BU718" s="298">
        <f t="shared" ref="BU718:BU752" si="15">IF(BT718=0,"",BT718*AH718)</f>
        <v>3.1219572349406415E-2</v>
      </c>
      <c r="CC718" s="3"/>
      <c r="CD718" s="3"/>
      <c r="CE718" s="3"/>
      <c r="CF718" s="3"/>
      <c r="CG718" s="1523">
        <f>IF(AND(AC718&lt;=0.5,AC718&gt;=0.36),1,0)</f>
        <v>0</v>
      </c>
      <c r="CH718" s="1525"/>
      <c r="CI718" s="1508">
        <f>IF(CG718=1,G718,0)</f>
        <v>0</v>
      </c>
      <c r="CJ718" s="1509"/>
      <c r="CK718" s="1523">
        <f t="shared" ref="CK718:CK752" si="16">IF(AND(AC718&lt;=0.35,AC718&gt;0),1,0)</f>
        <v>1</v>
      </c>
      <c r="CL718" s="1525"/>
      <c r="CM718" s="1508">
        <f t="shared" ref="CM718:CM752" si="17">IF(CK718=1,G718,0)</f>
        <v>28</v>
      </c>
      <c r="CN718" s="1509"/>
      <c r="CO718" s="3"/>
      <c r="CP718" s="1510">
        <f t="shared" ref="CP718:CP752" si="18">IF(B718="SRO/Studio",G718,0)</f>
        <v>28</v>
      </c>
      <c r="CQ718" s="1511"/>
      <c r="CR718" s="1511"/>
      <c r="CS718" s="1511"/>
      <c r="CT718" s="1512"/>
      <c r="CU718" s="1498">
        <f t="shared" ref="CU718:CU752" si="19">IF(B718="1 Bedroom",G718,0)</f>
        <v>0</v>
      </c>
      <c r="CV718" s="1498"/>
      <c r="CW718" s="1498"/>
      <c r="CX718" s="1498"/>
      <c r="CY718" s="1498"/>
      <c r="CZ718" s="1498">
        <f t="shared" ref="CZ718:CZ752" si="20">IF(B718="2 Bedrooms",G718,0)</f>
        <v>0</v>
      </c>
      <c r="DA718" s="1498"/>
      <c r="DB718" s="1498"/>
      <c r="DC718" s="1498"/>
      <c r="DD718" s="1498"/>
      <c r="DE718" s="1498">
        <f t="shared" ref="DE718:DE752" si="21">IF(B718="3 Bedrooms",G718,0)</f>
        <v>0</v>
      </c>
      <c r="DF718" s="1498"/>
      <c r="DG718" s="1498"/>
      <c r="DH718" s="1498"/>
      <c r="DI718" s="1498"/>
      <c r="DJ718" s="1498">
        <f t="shared" ref="DJ718:DJ752" si="22">IF(B718="4 Bedrooms",G718,0)</f>
        <v>0</v>
      </c>
      <c r="DK718" s="1498"/>
      <c r="DL718" s="1498"/>
      <c r="DM718" s="1498"/>
      <c r="DN718" s="1498"/>
      <c r="DO718" s="1498">
        <f t="shared" ref="DO718:DO752" si="23">IF(B718="5 Bedrooms",G718,0)</f>
        <v>0</v>
      </c>
      <c r="DP718" s="1498"/>
      <c r="DQ718" s="1498"/>
      <c r="DR718" s="1498"/>
      <c r="DS718" s="1498"/>
      <c r="DT718" s="6"/>
      <c r="DU718" s="1497">
        <f t="shared" ref="DU718:DU752" si="24">IF(AND(B718="SRO/Studio",AC718&lt;=0.3),G718,0)</f>
        <v>28</v>
      </c>
      <c r="DV718" s="1497"/>
      <c r="DW718" s="1497"/>
      <c r="DX718" s="1497"/>
      <c r="DY718" s="1497"/>
      <c r="DZ718" s="1497">
        <f t="shared" ref="DZ718:DZ752" si="25">IF(AND(B718="1 Bedroom",AC718&lt;=0.3),G718,0)</f>
        <v>0</v>
      </c>
      <c r="EA718" s="1497"/>
      <c r="EB718" s="1497"/>
      <c r="EC718" s="1497"/>
      <c r="ED718" s="1497"/>
      <c r="EE718" s="1497">
        <f t="shared" ref="EE718:EE752" si="26">IF(AND(B718="2 Bedrooms",AC718&lt;=0.3),G718,0)</f>
        <v>0</v>
      </c>
      <c r="EF718" s="1497"/>
      <c r="EG718" s="1497"/>
      <c r="EH718" s="1497"/>
      <c r="EI718" s="1497"/>
      <c r="EJ718" s="1497">
        <f t="shared" ref="EJ718:EJ752" si="27">IF(AND(B718="3 Bedrooms",AC718&lt;=0.3),G718,0)</f>
        <v>0</v>
      </c>
      <c r="EK718" s="1497"/>
      <c r="EL718" s="1497"/>
      <c r="EM718" s="1497"/>
      <c r="EN718" s="1497"/>
      <c r="EO718" s="1497">
        <f t="shared" ref="EO718:EO752" si="28">IF(AND(B718="4 Bedrooms",AC718&lt;=0.3),G718,0)</f>
        <v>0</v>
      </c>
      <c r="EP718" s="1497"/>
      <c r="EQ718" s="1497"/>
      <c r="ER718" s="1497"/>
      <c r="ES718" s="1497"/>
      <c r="ET718" s="1497">
        <f t="shared" ref="ET718:ET752" si="29">IF(AND(B718="5 Bedrooms",AC718&lt;=0.3),G718,0)</f>
        <v>0</v>
      </c>
      <c r="EU718" s="1497"/>
      <c r="EV718" s="1497"/>
      <c r="EW718" s="1497"/>
      <c r="EX718" s="1497"/>
      <c r="EY718" s="4"/>
      <c r="EZ718" s="1523">
        <f t="shared" ref="EZ718:EZ752" si="30">IF(CP718&gt;0,O718,"")</f>
        <v>868</v>
      </c>
      <c r="FA718" s="1524"/>
      <c r="FB718" s="1524"/>
      <c r="FC718" s="1524"/>
      <c r="FD718" s="1525"/>
      <c r="FE718" s="1523" t="str">
        <f t="shared" ref="FE718:FE752" si="31">IF(CU718&gt;0,O718,"")</f>
        <v/>
      </c>
      <c r="FF718" s="1524"/>
      <c r="FG718" s="1524"/>
      <c r="FH718" s="1524"/>
      <c r="FI718" s="1525"/>
      <c r="FJ718" s="1523" t="str">
        <f t="shared" ref="FJ718:FJ752" si="32">IF(CZ718&gt;0,O718,"")</f>
        <v/>
      </c>
      <c r="FK718" s="1524"/>
      <c r="FL718" s="1524"/>
      <c r="FM718" s="1524"/>
      <c r="FN718" s="1525"/>
      <c r="FO718" s="1523" t="str">
        <f t="shared" ref="FO718:FO752" si="33">IF(DE718&gt;0,O718,"")</f>
        <v/>
      </c>
      <c r="FP718" s="1524"/>
      <c r="FQ718" s="1524"/>
      <c r="FR718" s="1524"/>
      <c r="FS718" s="1525"/>
      <c r="FT718" s="1523" t="str">
        <f t="shared" ref="FT718:FT752" si="34">IF(DJ718&gt;0,O718,"")</f>
        <v/>
      </c>
      <c r="FU718" s="1524"/>
      <c r="FV718" s="1524"/>
      <c r="FW718" s="1524"/>
      <c r="FX718" s="1525"/>
      <c r="FY718" s="1523" t="str">
        <f t="shared" ref="FY718:FY752" si="35">IF(DO718&gt;0,O718,"")</f>
        <v/>
      </c>
      <c r="FZ718" s="1524"/>
      <c r="GA718" s="1524"/>
      <c r="GB718" s="1524"/>
      <c r="GC718" s="1525"/>
    </row>
    <row r="719" spans="1:185" ht="12.95" customHeight="1">
      <c r="A719" s="4"/>
      <c r="B719" s="1394" t="s">
        <v>323</v>
      </c>
      <c r="C719" s="1395"/>
      <c r="D719" s="1395"/>
      <c r="E719" s="1395"/>
      <c r="F719" s="1396"/>
      <c r="G719" s="1398">
        <v>7</v>
      </c>
      <c r="H719" s="1399"/>
      <c r="I719" s="1399"/>
      <c r="J719" s="1400"/>
      <c r="K719" s="1390">
        <v>345</v>
      </c>
      <c r="L719" s="1391"/>
      <c r="M719" s="1391"/>
      <c r="N719" s="1392"/>
      <c r="O719" s="1383">
        <v>1447</v>
      </c>
      <c r="P719" s="1384"/>
      <c r="Q719" s="1384"/>
      <c r="R719" s="1384"/>
      <c r="S719" s="1385"/>
      <c r="T719" s="1383">
        <v>0</v>
      </c>
      <c r="U719" s="1384"/>
      <c r="V719" s="1384"/>
      <c r="W719" s="1385"/>
      <c r="X719" s="1401">
        <f t="shared" si="8"/>
        <v>1447</v>
      </c>
      <c r="Y719" s="1402"/>
      <c r="Z719" s="1402"/>
      <c r="AA719" s="1402"/>
      <c r="AB719" s="1403"/>
      <c r="AC719" s="1421">
        <v>0.5</v>
      </c>
      <c r="AD719" s="1422"/>
      <c r="AE719" s="1422"/>
      <c r="AF719" s="1422"/>
      <c r="AG719" s="1423"/>
      <c r="AH719" s="1404">
        <f t="shared" ref="AH719:AH752" si="36">IF($AC719&gt;0,($X719/$AZ719), "")</f>
        <v>0.5</v>
      </c>
      <c r="AI719" s="1405"/>
      <c r="AJ719" s="1406"/>
      <c r="AK719" s="1394" t="s">
        <v>591</v>
      </c>
      <c r="AL719" s="1395"/>
      <c r="AM719" s="1395"/>
      <c r="AN719" s="1395"/>
      <c r="AO719" s="1396"/>
      <c r="AP719" s="3"/>
      <c r="AQ719" s="3"/>
      <c r="AR719" s="3"/>
      <c r="AS719" s="3"/>
      <c r="AZ719" s="118">
        <f t="shared" si="9"/>
        <v>2894</v>
      </c>
      <c r="BA719" s="3"/>
      <c r="BB719" s="3"/>
      <c r="BC719" s="3"/>
      <c r="BD719" s="3"/>
      <c r="BE719" s="204"/>
      <c r="BF719" s="294">
        <f t="shared" si="10"/>
        <v>7</v>
      </c>
      <c r="BG719" s="297">
        <f t="shared" si="11"/>
        <v>2.6022304832713755E-2</v>
      </c>
      <c r="BH719" s="298">
        <f t="shared" si="12"/>
        <v>1.3011152416356878E-2</v>
      </c>
      <c r="BI719" s="3"/>
      <c r="BJ719" s="3"/>
      <c r="BK719" s="3"/>
      <c r="BL719" s="3"/>
      <c r="BM719" s="3"/>
      <c r="BN719" s="3"/>
      <c r="BS719" s="294">
        <f t="shared" si="13"/>
        <v>7</v>
      </c>
      <c r="BT719" s="297">
        <f t="shared" si="14"/>
        <v>2.6022304832713755E-2</v>
      </c>
      <c r="BU719" s="298">
        <f t="shared" si="15"/>
        <v>1.3011152416356878E-2</v>
      </c>
      <c r="CC719" s="3"/>
      <c r="CD719" s="3"/>
      <c r="CE719" s="3"/>
      <c r="CF719" s="3"/>
      <c r="CG719" s="1523">
        <f t="shared" ref="CG719:CG752" si="37">IF(AND(AC719&lt;=0.5,AC719&gt;=0.36),1,0)</f>
        <v>1</v>
      </c>
      <c r="CH719" s="1525"/>
      <c r="CI719" s="1508">
        <f t="shared" ref="CI719:CI752" si="38">IF(CG719=1,G719,0)</f>
        <v>7</v>
      </c>
      <c r="CJ719" s="1509"/>
      <c r="CK719" s="1523">
        <f t="shared" si="16"/>
        <v>0</v>
      </c>
      <c r="CL719" s="1525"/>
      <c r="CM719" s="1508">
        <f t="shared" si="17"/>
        <v>0</v>
      </c>
      <c r="CN719" s="1509"/>
      <c r="CO719" s="3"/>
      <c r="CP719" s="1510">
        <f t="shared" si="18"/>
        <v>7</v>
      </c>
      <c r="CQ719" s="1511"/>
      <c r="CR719" s="1511"/>
      <c r="CS719" s="1511"/>
      <c r="CT719" s="1512"/>
      <c r="CU719" s="1498">
        <f t="shared" si="19"/>
        <v>0</v>
      </c>
      <c r="CV719" s="1498"/>
      <c r="CW719" s="1498"/>
      <c r="CX719" s="1498"/>
      <c r="CY719" s="1498"/>
      <c r="CZ719" s="1498">
        <f t="shared" si="20"/>
        <v>0</v>
      </c>
      <c r="DA719" s="1498"/>
      <c r="DB719" s="1498"/>
      <c r="DC719" s="1498"/>
      <c r="DD719" s="1498"/>
      <c r="DE719" s="1498">
        <f t="shared" si="21"/>
        <v>0</v>
      </c>
      <c r="DF719" s="1498"/>
      <c r="DG719" s="1498"/>
      <c r="DH719" s="1498"/>
      <c r="DI719" s="1498"/>
      <c r="DJ719" s="1498">
        <f t="shared" si="22"/>
        <v>0</v>
      </c>
      <c r="DK719" s="1498"/>
      <c r="DL719" s="1498"/>
      <c r="DM719" s="1498"/>
      <c r="DN719" s="1498"/>
      <c r="DO719" s="1498">
        <f t="shared" si="23"/>
        <v>0</v>
      </c>
      <c r="DP719" s="1498"/>
      <c r="DQ719" s="1498"/>
      <c r="DR719" s="1498"/>
      <c r="DS719" s="1498"/>
      <c r="DT719" s="6"/>
      <c r="DU719" s="1497">
        <f t="shared" si="24"/>
        <v>0</v>
      </c>
      <c r="DV719" s="1497"/>
      <c r="DW719" s="1497"/>
      <c r="DX719" s="1497"/>
      <c r="DY719" s="1497"/>
      <c r="DZ719" s="1497">
        <f t="shared" si="25"/>
        <v>0</v>
      </c>
      <c r="EA719" s="1497"/>
      <c r="EB719" s="1497"/>
      <c r="EC719" s="1497"/>
      <c r="ED719" s="1497"/>
      <c r="EE719" s="1497">
        <f t="shared" si="26"/>
        <v>0</v>
      </c>
      <c r="EF719" s="1497"/>
      <c r="EG719" s="1497"/>
      <c r="EH719" s="1497"/>
      <c r="EI719" s="1497"/>
      <c r="EJ719" s="1497">
        <f t="shared" si="27"/>
        <v>0</v>
      </c>
      <c r="EK719" s="1497"/>
      <c r="EL719" s="1497"/>
      <c r="EM719" s="1497"/>
      <c r="EN719" s="1497"/>
      <c r="EO719" s="1497">
        <f t="shared" si="28"/>
        <v>0</v>
      </c>
      <c r="EP719" s="1497"/>
      <c r="EQ719" s="1497"/>
      <c r="ER719" s="1497"/>
      <c r="ES719" s="1497"/>
      <c r="ET719" s="1497">
        <f t="shared" si="29"/>
        <v>0</v>
      </c>
      <c r="EU719" s="1497"/>
      <c r="EV719" s="1497"/>
      <c r="EW719" s="1497"/>
      <c r="EX719" s="1497"/>
      <c r="EY719" s="4"/>
      <c r="EZ719" s="1523">
        <f t="shared" si="30"/>
        <v>1447</v>
      </c>
      <c r="FA719" s="1524"/>
      <c r="FB719" s="1524"/>
      <c r="FC719" s="1524"/>
      <c r="FD719" s="1525"/>
      <c r="FE719" s="1523" t="str">
        <f t="shared" si="31"/>
        <v/>
      </c>
      <c r="FF719" s="1524"/>
      <c r="FG719" s="1524"/>
      <c r="FH719" s="1524"/>
      <c r="FI719" s="1525"/>
      <c r="FJ719" s="1523" t="str">
        <f t="shared" si="32"/>
        <v/>
      </c>
      <c r="FK719" s="1524"/>
      <c r="FL719" s="1524"/>
      <c r="FM719" s="1524"/>
      <c r="FN719" s="1525"/>
      <c r="FO719" s="1523" t="str">
        <f t="shared" si="33"/>
        <v/>
      </c>
      <c r="FP719" s="1524"/>
      <c r="FQ719" s="1524"/>
      <c r="FR719" s="1524"/>
      <c r="FS719" s="1525"/>
      <c r="FT719" s="1523" t="str">
        <f t="shared" si="34"/>
        <v/>
      </c>
      <c r="FU719" s="1524"/>
      <c r="FV719" s="1524"/>
      <c r="FW719" s="1524"/>
      <c r="FX719" s="1525"/>
      <c r="FY719" s="1523" t="str">
        <f t="shared" si="35"/>
        <v/>
      </c>
      <c r="FZ719" s="1524"/>
      <c r="GA719" s="1524"/>
      <c r="GB719" s="1524"/>
      <c r="GC719" s="1525"/>
    </row>
    <row r="720" spans="1:185" ht="12.95" customHeight="1">
      <c r="A720" s="4"/>
      <c r="B720" s="1394" t="s">
        <v>323</v>
      </c>
      <c r="C720" s="1395"/>
      <c r="D720" s="1395"/>
      <c r="E720" s="1395"/>
      <c r="F720" s="1396"/>
      <c r="G720" s="1398">
        <v>39</v>
      </c>
      <c r="H720" s="1399"/>
      <c r="I720" s="1399"/>
      <c r="J720" s="1400"/>
      <c r="K720" s="1390">
        <v>345</v>
      </c>
      <c r="L720" s="1391"/>
      <c r="M720" s="1391"/>
      <c r="N720" s="1392"/>
      <c r="O720" s="1383">
        <v>1737</v>
      </c>
      <c r="P720" s="1384"/>
      <c r="Q720" s="1384"/>
      <c r="R720" s="1384"/>
      <c r="S720" s="1385"/>
      <c r="T720" s="1383">
        <v>0</v>
      </c>
      <c r="U720" s="1384"/>
      <c r="V720" s="1384"/>
      <c r="W720" s="1385"/>
      <c r="X720" s="1401">
        <f t="shared" si="8"/>
        <v>1737</v>
      </c>
      <c r="Y720" s="1402"/>
      <c r="Z720" s="1402"/>
      <c r="AA720" s="1402"/>
      <c r="AB720" s="1403"/>
      <c r="AC720" s="1421">
        <v>0.6</v>
      </c>
      <c r="AD720" s="1422"/>
      <c r="AE720" s="1422"/>
      <c r="AF720" s="1422"/>
      <c r="AG720" s="1423"/>
      <c r="AH720" s="1404">
        <f t="shared" si="36"/>
        <v>0.60020732550103661</v>
      </c>
      <c r="AI720" s="1405"/>
      <c r="AJ720" s="1406"/>
      <c r="AK720" s="1394" t="s">
        <v>591</v>
      </c>
      <c r="AL720" s="1395"/>
      <c r="AM720" s="1395"/>
      <c r="AN720" s="1395"/>
      <c r="AO720" s="1396"/>
      <c r="AP720" s="3"/>
      <c r="AQ720" s="3"/>
      <c r="AR720" s="3"/>
      <c r="AS720" s="3"/>
      <c r="AZ720" s="118">
        <f t="shared" si="9"/>
        <v>2894</v>
      </c>
      <c r="BA720" s="3"/>
      <c r="BB720" s="3"/>
      <c r="BC720" s="3"/>
      <c r="BD720" s="3"/>
      <c r="BE720" s="204"/>
      <c r="BF720" s="294">
        <f t="shared" si="10"/>
        <v>39</v>
      </c>
      <c r="BG720" s="297">
        <f t="shared" si="11"/>
        <v>0.1449814126394052</v>
      </c>
      <c r="BH720" s="298">
        <f t="shared" si="12"/>
        <v>8.6988847583643114E-2</v>
      </c>
      <c r="BI720" s="3"/>
      <c r="BJ720" s="3"/>
      <c r="BK720" s="3"/>
      <c r="BL720" s="3"/>
      <c r="BM720" s="3"/>
      <c r="BN720" s="3"/>
      <c r="BS720" s="294">
        <f t="shared" si="13"/>
        <v>39</v>
      </c>
      <c r="BT720" s="297">
        <f t="shared" si="14"/>
        <v>0.1449814126394052</v>
      </c>
      <c r="BU720" s="298">
        <f t="shared" si="15"/>
        <v>8.7018905927659582E-2</v>
      </c>
      <c r="CC720" s="3"/>
      <c r="CD720" s="3"/>
      <c r="CE720" s="3"/>
      <c r="CF720" s="3"/>
      <c r="CG720" s="1523">
        <f t="shared" si="37"/>
        <v>0</v>
      </c>
      <c r="CH720" s="1525"/>
      <c r="CI720" s="1508">
        <f t="shared" si="38"/>
        <v>0</v>
      </c>
      <c r="CJ720" s="1509"/>
      <c r="CK720" s="1523">
        <f t="shared" si="16"/>
        <v>0</v>
      </c>
      <c r="CL720" s="1525"/>
      <c r="CM720" s="1508">
        <f t="shared" si="17"/>
        <v>0</v>
      </c>
      <c r="CN720" s="1509"/>
      <c r="CO720" s="3"/>
      <c r="CP720" s="1510">
        <f t="shared" si="18"/>
        <v>39</v>
      </c>
      <c r="CQ720" s="1511"/>
      <c r="CR720" s="1511"/>
      <c r="CS720" s="1511"/>
      <c r="CT720" s="1512"/>
      <c r="CU720" s="1498">
        <f t="shared" si="19"/>
        <v>0</v>
      </c>
      <c r="CV720" s="1498"/>
      <c r="CW720" s="1498"/>
      <c r="CX720" s="1498"/>
      <c r="CY720" s="1498"/>
      <c r="CZ720" s="1498">
        <f t="shared" si="20"/>
        <v>0</v>
      </c>
      <c r="DA720" s="1498"/>
      <c r="DB720" s="1498"/>
      <c r="DC720" s="1498"/>
      <c r="DD720" s="1498"/>
      <c r="DE720" s="1498">
        <f t="shared" si="21"/>
        <v>0</v>
      </c>
      <c r="DF720" s="1498"/>
      <c r="DG720" s="1498"/>
      <c r="DH720" s="1498"/>
      <c r="DI720" s="1498"/>
      <c r="DJ720" s="1498">
        <f t="shared" si="22"/>
        <v>0</v>
      </c>
      <c r="DK720" s="1498"/>
      <c r="DL720" s="1498"/>
      <c r="DM720" s="1498"/>
      <c r="DN720" s="1498"/>
      <c r="DO720" s="1498">
        <f t="shared" si="23"/>
        <v>0</v>
      </c>
      <c r="DP720" s="1498"/>
      <c r="DQ720" s="1498"/>
      <c r="DR720" s="1498"/>
      <c r="DS720" s="1498"/>
      <c r="DT720" s="6"/>
      <c r="DU720" s="1497">
        <f t="shared" si="24"/>
        <v>0</v>
      </c>
      <c r="DV720" s="1497"/>
      <c r="DW720" s="1497"/>
      <c r="DX720" s="1497"/>
      <c r="DY720" s="1497"/>
      <c r="DZ720" s="1497">
        <f t="shared" si="25"/>
        <v>0</v>
      </c>
      <c r="EA720" s="1497"/>
      <c r="EB720" s="1497"/>
      <c r="EC720" s="1497"/>
      <c r="ED720" s="1497"/>
      <c r="EE720" s="1497">
        <f t="shared" si="26"/>
        <v>0</v>
      </c>
      <c r="EF720" s="1497"/>
      <c r="EG720" s="1497"/>
      <c r="EH720" s="1497"/>
      <c r="EI720" s="1497"/>
      <c r="EJ720" s="1497">
        <f t="shared" si="27"/>
        <v>0</v>
      </c>
      <c r="EK720" s="1497"/>
      <c r="EL720" s="1497"/>
      <c r="EM720" s="1497"/>
      <c r="EN720" s="1497"/>
      <c r="EO720" s="1497">
        <f t="shared" si="28"/>
        <v>0</v>
      </c>
      <c r="EP720" s="1497"/>
      <c r="EQ720" s="1497"/>
      <c r="ER720" s="1497"/>
      <c r="ES720" s="1497"/>
      <c r="ET720" s="1497">
        <f t="shared" si="29"/>
        <v>0</v>
      </c>
      <c r="EU720" s="1497"/>
      <c r="EV720" s="1497"/>
      <c r="EW720" s="1497"/>
      <c r="EX720" s="1497"/>
      <c r="EZ720" s="1523">
        <f t="shared" si="30"/>
        <v>1737</v>
      </c>
      <c r="FA720" s="1524"/>
      <c r="FB720" s="1524"/>
      <c r="FC720" s="1524"/>
      <c r="FD720" s="1525"/>
      <c r="FE720" s="1523" t="str">
        <f t="shared" si="31"/>
        <v/>
      </c>
      <c r="FF720" s="1524"/>
      <c r="FG720" s="1524"/>
      <c r="FH720" s="1524"/>
      <c r="FI720" s="1525"/>
      <c r="FJ720" s="1523" t="str">
        <f t="shared" si="32"/>
        <v/>
      </c>
      <c r="FK720" s="1524"/>
      <c r="FL720" s="1524"/>
      <c r="FM720" s="1524"/>
      <c r="FN720" s="1525"/>
      <c r="FO720" s="1523" t="str">
        <f t="shared" si="33"/>
        <v/>
      </c>
      <c r="FP720" s="1524"/>
      <c r="FQ720" s="1524"/>
      <c r="FR720" s="1524"/>
      <c r="FS720" s="1525"/>
      <c r="FT720" s="1523" t="str">
        <f t="shared" si="34"/>
        <v/>
      </c>
      <c r="FU720" s="1524"/>
      <c r="FV720" s="1524"/>
      <c r="FW720" s="1524"/>
      <c r="FX720" s="1525"/>
      <c r="FY720" s="1523" t="str">
        <f t="shared" si="35"/>
        <v/>
      </c>
      <c r="FZ720" s="1524"/>
      <c r="GA720" s="1524"/>
      <c r="GB720" s="1524"/>
      <c r="GC720" s="1525"/>
    </row>
    <row r="721" spans="1:185" ht="12.95" customHeight="1">
      <c r="B721" s="1394" t="s">
        <v>324</v>
      </c>
      <c r="C721" s="1395"/>
      <c r="D721" s="1395"/>
      <c r="E721" s="1395"/>
      <c r="F721" s="1396"/>
      <c r="G721" s="1398">
        <v>16</v>
      </c>
      <c r="H721" s="1399"/>
      <c r="I721" s="1399"/>
      <c r="J721" s="1400"/>
      <c r="K721" s="1390">
        <v>464</v>
      </c>
      <c r="L721" s="1391"/>
      <c r="M721" s="1391"/>
      <c r="N721" s="1392"/>
      <c r="O721" s="1383">
        <v>1550</v>
      </c>
      <c r="P721" s="1384"/>
      <c r="Q721" s="1384"/>
      <c r="R721" s="1384"/>
      <c r="S721" s="1385"/>
      <c r="T721" s="1383">
        <v>0</v>
      </c>
      <c r="U721" s="1384"/>
      <c r="V721" s="1384"/>
      <c r="W721" s="1385"/>
      <c r="X721" s="1401">
        <f t="shared" si="8"/>
        <v>1550</v>
      </c>
      <c r="Y721" s="1402"/>
      <c r="Z721" s="1402"/>
      <c r="AA721" s="1402"/>
      <c r="AB721" s="1403"/>
      <c r="AC721" s="1421">
        <v>0.5</v>
      </c>
      <c r="AD721" s="1422"/>
      <c r="AE721" s="1422"/>
      <c r="AF721" s="1422"/>
      <c r="AG721" s="1423"/>
      <c r="AH721" s="1404">
        <f t="shared" si="36"/>
        <v>0.5</v>
      </c>
      <c r="AI721" s="1405"/>
      <c r="AJ721" s="1406"/>
      <c r="AK721" s="1394" t="s">
        <v>591</v>
      </c>
      <c r="AL721" s="1395"/>
      <c r="AM721" s="1395"/>
      <c r="AN721" s="1395"/>
      <c r="AO721" s="1396"/>
      <c r="AP721" s="3"/>
      <c r="AQ721" s="3"/>
      <c r="AR721" s="3"/>
      <c r="AS721" s="3"/>
      <c r="AY721" s="116"/>
      <c r="AZ721" s="118">
        <f t="shared" si="9"/>
        <v>3100</v>
      </c>
      <c r="BA721" s="3"/>
      <c r="BB721" s="3"/>
      <c r="BC721" s="3"/>
      <c r="BD721" s="3"/>
      <c r="BE721" s="204"/>
      <c r="BF721" s="294">
        <f t="shared" si="10"/>
        <v>16</v>
      </c>
      <c r="BG721" s="297">
        <f t="shared" si="11"/>
        <v>5.9479553903345722E-2</v>
      </c>
      <c r="BH721" s="298">
        <f t="shared" si="12"/>
        <v>2.9739776951672861E-2</v>
      </c>
      <c r="BI721" s="3"/>
      <c r="BJ721" s="3"/>
      <c r="BK721" s="3"/>
      <c r="BL721" s="3"/>
      <c r="BM721" s="3"/>
      <c r="BN721" s="3"/>
      <c r="BS721" s="294">
        <f t="shared" si="13"/>
        <v>16</v>
      </c>
      <c r="BT721" s="297">
        <f t="shared" si="14"/>
        <v>5.9479553903345722E-2</v>
      </c>
      <c r="BU721" s="298">
        <f t="shared" si="15"/>
        <v>2.9739776951672861E-2</v>
      </c>
      <c r="CC721" s="3"/>
      <c r="CD721" s="3"/>
      <c r="CE721" s="3"/>
      <c r="CF721" s="3"/>
      <c r="CG721" s="1523">
        <f t="shared" si="37"/>
        <v>1</v>
      </c>
      <c r="CH721" s="1525"/>
      <c r="CI721" s="1508">
        <f t="shared" si="38"/>
        <v>16</v>
      </c>
      <c r="CJ721" s="1509"/>
      <c r="CK721" s="1523">
        <f t="shared" si="16"/>
        <v>0</v>
      </c>
      <c r="CL721" s="1525"/>
      <c r="CM721" s="1508">
        <f t="shared" si="17"/>
        <v>0</v>
      </c>
      <c r="CN721" s="1509"/>
      <c r="CO721" s="3"/>
      <c r="CP721" s="1510">
        <f t="shared" si="18"/>
        <v>0</v>
      </c>
      <c r="CQ721" s="1511"/>
      <c r="CR721" s="1511"/>
      <c r="CS721" s="1511"/>
      <c r="CT721" s="1512"/>
      <c r="CU721" s="1498">
        <f t="shared" si="19"/>
        <v>16</v>
      </c>
      <c r="CV721" s="1498"/>
      <c r="CW721" s="1498"/>
      <c r="CX721" s="1498"/>
      <c r="CY721" s="1498"/>
      <c r="CZ721" s="1498">
        <f t="shared" si="20"/>
        <v>0</v>
      </c>
      <c r="DA721" s="1498"/>
      <c r="DB721" s="1498"/>
      <c r="DC721" s="1498"/>
      <c r="DD721" s="1498"/>
      <c r="DE721" s="1498">
        <f t="shared" si="21"/>
        <v>0</v>
      </c>
      <c r="DF721" s="1498"/>
      <c r="DG721" s="1498"/>
      <c r="DH721" s="1498"/>
      <c r="DI721" s="1498"/>
      <c r="DJ721" s="1498">
        <f t="shared" si="22"/>
        <v>0</v>
      </c>
      <c r="DK721" s="1498"/>
      <c r="DL721" s="1498"/>
      <c r="DM721" s="1498"/>
      <c r="DN721" s="1498"/>
      <c r="DO721" s="1498">
        <f t="shared" si="23"/>
        <v>0</v>
      </c>
      <c r="DP721" s="1498"/>
      <c r="DQ721" s="1498"/>
      <c r="DR721" s="1498"/>
      <c r="DS721" s="1498"/>
      <c r="DT721" s="6"/>
      <c r="DU721" s="1497">
        <f t="shared" si="24"/>
        <v>0</v>
      </c>
      <c r="DV721" s="1497"/>
      <c r="DW721" s="1497"/>
      <c r="DX721" s="1497"/>
      <c r="DY721" s="1497"/>
      <c r="DZ721" s="1497">
        <f t="shared" si="25"/>
        <v>0</v>
      </c>
      <c r="EA721" s="1497"/>
      <c r="EB721" s="1497"/>
      <c r="EC721" s="1497"/>
      <c r="ED721" s="1497"/>
      <c r="EE721" s="1497">
        <f t="shared" si="26"/>
        <v>0</v>
      </c>
      <c r="EF721" s="1497"/>
      <c r="EG721" s="1497"/>
      <c r="EH721" s="1497"/>
      <c r="EI721" s="1497"/>
      <c r="EJ721" s="1497">
        <f t="shared" si="27"/>
        <v>0</v>
      </c>
      <c r="EK721" s="1497"/>
      <c r="EL721" s="1497"/>
      <c r="EM721" s="1497"/>
      <c r="EN721" s="1497"/>
      <c r="EO721" s="1497">
        <f t="shared" si="28"/>
        <v>0</v>
      </c>
      <c r="EP721" s="1497"/>
      <c r="EQ721" s="1497"/>
      <c r="ER721" s="1497"/>
      <c r="ES721" s="1497"/>
      <c r="ET721" s="1497">
        <f t="shared" si="29"/>
        <v>0</v>
      </c>
      <c r="EU721" s="1497"/>
      <c r="EV721" s="1497"/>
      <c r="EW721" s="1497"/>
      <c r="EX721" s="1497"/>
      <c r="EZ721" s="1523" t="str">
        <f t="shared" si="30"/>
        <v/>
      </c>
      <c r="FA721" s="1524"/>
      <c r="FB721" s="1524"/>
      <c r="FC721" s="1524"/>
      <c r="FD721" s="1525"/>
      <c r="FE721" s="1523">
        <f t="shared" si="31"/>
        <v>1550</v>
      </c>
      <c r="FF721" s="1524"/>
      <c r="FG721" s="1524"/>
      <c r="FH721" s="1524"/>
      <c r="FI721" s="1525"/>
      <c r="FJ721" s="1523" t="str">
        <f t="shared" si="32"/>
        <v/>
      </c>
      <c r="FK721" s="1524"/>
      <c r="FL721" s="1524"/>
      <c r="FM721" s="1524"/>
      <c r="FN721" s="1525"/>
      <c r="FO721" s="1523" t="str">
        <f t="shared" si="33"/>
        <v/>
      </c>
      <c r="FP721" s="1524"/>
      <c r="FQ721" s="1524"/>
      <c r="FR721" s="1524"/>
      <c r="FS721" s="1525"/>
      <c r="FT721" s="1523" t="str">
        <f t="shared" si="34"/>
        <v/>
      </c>
      <c r="FU721" s="1524"/>
      <c r="FV721" s="1524"/>
      <c r="FW721" s="1524"/>
      <c r="FX721" s="1525"/>
      <c r="FY721" s="1523" t="str">
        <f t="shared" si="35"/>
        <v/>
      </c>
      <c r="FZ721" s="1524"/>
      <c r="GA721" s="1524"/>
      <c r="GB721" s="1524"/>
      <c r="GC721" s="1525"/>
    </row>
    <row r="722" spans="1:185" ht="12.95" customHeight="1">
      <c r="B722" s="1394" t="s">
        <v>324</v>
      </c>
      <c r="C722" s="1395"/>
      <c r="D722" s="1395"/>
      <c r="E722" s="1395"/>
      <c r="F722" s="1396"/>
      <c r="G722" s="1398">
        <v>93</v>
      </c>
      <c r="H722" s="1399"/>
      <c r="I722" s="1399"/>
      <c r="J722" s="1400"/>
      <c r="K722" s="1390">
        <v>464</v>
      </c>
      <c r="L722" s="1391"/>
      <c r="M722" s="1391"/>
      <c r="N722" s="1392"/>
      <c r="O722" s="1383">
        <v>1860</v>
      </c>
      <c r="P722" s="1384"/>
      <c r="Q722" s="1384"/>
      <c r="R722" s="1384"/>
      <c r="S722" s="1385"/>
      <c r="T722" s="1383">
        <v>0</v>
      </c>
      <c r="U722" s="1384"/>
      <c r="V722" s="1384"/>
      <c r="W722" s="1385"/>
      <c r="X722" s="1401">
        <f t="shared" si="8"/>
        <v>1860</v>
      </c>
      <c r="Y722" s="1402"/>
      <c r="Z722" s="1402"/>
      <c r="AA722" s="1402"/>
      <c r="AB722" s="1403"/>
      <c r="AC722" s="1421">
        <v>0.6</v>
      </c>
      <c r="AD722" s="1422"/>
      <c r="AE722" s="1422"/>
      <c r="AF722" s="1422"/>
      <c r="AG722" s="1423"/>
      <c r="AH722" s="1404">
        <f t="shared" si="36"/>
        <v>0.6</v>
      </c>
      <c r="AI722" s="1405"/>
      <c r="AJ722" s="1406"/>
      <c r="AK722" s="1394" t="s">
        <v>591</v>
      </c>
      <c r="AL722" s="1395"/>
      <c r="AM722" s="1395"/>
      <c r="AN722" s="1395"/>
      <c r="AO722" s="1396"/>
      <c r="AP722" s="3"/>
      <c r="AQ722" s="3"/>
      <c r="AR722" s="3"/>
      <c r="AS722" s="3"/>
      <c r="AY722" s="116"/>
      <c r="AZ722" s="118">
        <f t="shared" si="9"/>
        <v>3100</v>
      </c>
      <c r="BA722" s="3"/>
      <c r="BB722" s="3"/>
      <c r="BC722" s="3"/>
      <c r="BD722" s="3"/>
      <c r="BE722" s="204"/>
      <c r="BF722" s="294">
        <f t="shared" si="10"/>
        <v>93</v>
      </c>
      <c r="BG722" s="297">
        <f t="shared" si="11"/>
        <v>0.34572490706319703</v>
      </c>
      <c r="BH722" s="298">
        <f t="shared" si="12"/>
        <v>0.20743494423791822</v>
      </c>
      <c r="BI722" s="3"/>
      <c r="BJ722" s="3"/>
      <c r="BK722" s="3"/>
      <c r="BL722" s="3"/>
      <c r="BM722" s="3"/>
      <c r="BN722" s="3"/>
      <c r="BS722" s="294">
        <f t="shared" si="13"/>
        <v>93</v>
      </c>
      <c r="BT722" s="297">
        <f t="shared" si="14"/>
        <v>0.34572490706319703</v>
      </c>
      <c r="BU722" s="298">
        <f t="shared" si="15"/>
        <v>0.20743494423791822</v>
      </c>
      <c r="CC722" s="3"/>
      <c r="CD722" s="3"/>
      <c r="CE722" s="3"/>
      <c r="CF722" s="3"/>
      <c r="CG722" s="1523">
        <f t="shared" si="37"/>
        <v>0</v>
      </c>
      <c r="CH722" s="1525"/>
      <c r="CI722" s="1508">
        <f t="shared" si="38"/>
        <v>0</v>
      </c>
      <c r="CJ722" s="1509"/>
      <c r="CK722" s="1523">
        <f t="shared" si="16"/>
        <v>0</v>
      </c>
      <c r="CL722" s="1525"/>
      <c r="CM722" s="1508">
        <f t="shared" si="17"/>
        <v>0</v>
      </c>
      <c r="CN722" s="1509"/>
      <c r="CO722" s="3"/>
      <c r="CP722" s="1510">
        <f t="shared" si="18"/>
        <v>0</v>
      </c>
      <c r="CQ722" s="1511"/>
      <c r="CR722" s="1511"/>
      <c r="CS722" s="1511"/>
      <c r="CT722" s="1512"/>
      <c r="CU722" s="1498">
        <f t="shared" si="19"/>
        <v>93</v>
      </c>
      <c r="CV722" s="1498"/>
      <c r="CW722" s="1498"/>
      <c r="CX722" s="1498"/>
      <c r="CY722" s="1498"/>
      <c r="CZ722" s="1498">
        <f t="shared" si="20"/>
        <v>0</v>
      </c>
      <c r="DA722" s="1498"/>
      <c r="DB722" s="1498"/>
      <c r="DC722" s="1498"/>
      <c r="DD722" s="1498"/>
      <c r="DE722" s="1498">
        <f t="shared" si="21"/>
        <v>0</v>
      </c>
      <c r="DF722" s="1498"/>
      <c r="DG722" s="1498"/>
      <c r="DH722" s="1498"/>
      <c r="DI722" s="1498"/>
      <c r="DJ722" s="1498">
        <f t="shared" si="22"/>
        <v>0</v>
      </c>
      <c r="DK722" s="1498"/>
      <c r="DL722" s="1498"/>
      <c r="DM722" s="1498"/>
      <c r="DN722" s="1498"/>
      <c r="DO722" s="1498">
        <f t="shared" si="23"/>
        <v>0</v>
      </c>
      <c r="DP722" s="1498"/>
      <c r="DQ722" s="1498"/>
      <c r="DR722" s="1498"/>
      <c r="DS722" s="1498"/>
      <c r="DT722" s="6"/>
      <c r="DU722" s="1497">
        <f t="shared" si="24"/>
        <v>0</v>
      </c>
      <c r="DV722" s="1497"/>
      <c r="DW722" s="1497"/>
      <c r="DX722" s="1497"/>
      <c r="DY722" s="1497"/>
      <c r="DZ722" s="1497">
        <f t="shared" si="25"/>
        <v>0</v>
      </c>
      <c r="EA722" s="1497"/>
      <c r="EB722" s="1497"/>
      <c r="EC722" s="1497"/>
      <c r="ED722" s="1497"/>
      <c r="EE722" s="1497">
        <f t="shared" si="26"/>
        <v>0</v>
      </c>
      <c r="EF722" s="1497"/>
      <c r="EG722" s="1497"/>
      <c r="EH722" s="1497"/>
      <c r="EI722" s="1497"/>
      <c r="EJ722" s="1497">
        <f t="shared" si="27"/>
        <v>0</v>
      </c>
      <c r="EK722" s="1497"/>
      <c r="EL722" s="1497"/>
      <c r="EM722" s="1497"/>
      <c r="EN722" s="1497"/>
      <c r="EO722" s="1497">
        <f t="shared" si="28"/>
        <v>0</v>
      </c>
      <c r="EP722" s="1497"/>
      <c r="EQ722" s="1497"/>
      <c r="ER722" s="1497"/>
      <c r="ES722" s="1497"/>
      <c r="ET722" s="1497">
        <f t="shared" si="29"/>
        <v>0</v>
      </c>
      <c r="EU722" s="1497"/>
      <c r="EV722" s="1497"/>
      <c r="EW722" s="1497"/>
      <c r="EX722" s="1497"/>
      <c r="EZ722" s="1523" t="str">
        <f t="shared" si="30"/>
        <v/>
      </c>
      <c r="FA722" s="1524"/>
      <c r="FB722" s="1524"/>
      <c r="FC722" s="1524"/>
      <c r="FD722" s="1525"/>
      <c r="FE722" s="1523">
        <f t="shared" si="31"/>
        <v>1860</v>
      </c>
      <c r="FF722" s="1524"/>
      <c r="FG722" s="1524"/>
      <c r="FH722" s="1524"/>
      <c r="FI722" s="1525"/>
      <c r="FJ722" s="1523" t="str">
        <f t="shared" si="32"/>
        <v/>
      </c>
      <c r="FK722" s="1524"/>
      <c r="FL722" s="1524"/>
      <c r="FM722" s="1524"/>
      <c r="FN722" s="1525"/>
      <c r="FO722" s="1523" t="str">
        <f t="shared" si="33"/>
        <v/>
      </c>
      <c r="FP722" s="1524"/>
      <c r="FQ722" s="1524"/>
      <c r="FR722" s="1524"/>
      <c r="FS722" s="1525"/>
      <c r="FT722" s="1523" t="str">
        <f t="shared" si="34"/>
        <v/>
      </c>
      <c r="FU722" s="1524"/>
      <c r="FV722" s="1524"/>
      <c r="FW722" s="1524"/>
      <c r="FX722" s="1525"/>
      <c r="FY722" s="1523" t="str">
        <f t="shared" si="35"/>
        <v/>
      </c>
      <c r="FZ722" s="1524"/>
      <c r="GA722" s="1524"/>
      <c r="GB722" s="1524"/>
      <c r="GC722" s="1525"/>
    </row>
    <row r="723" spans="1:185" ht="12.95" customHeight="1">
      <c r="B723" s="1394" t="s">
        <v>324</v>
      </c>
      <c r="C723" s="1395"/>
      <c r="D723" s="1395"/>
      <c r="E723" s="1395"/>
      <c r="F723" s="1396"/>
      <c r="G723" s="1398">
        <v>50</v>
      </c>
      <c r="H723" s="1399"/>
      <c r="I723" s="1399"/>
      <c r="J723" s="1400"/>
      <c r="K723" s="1390">
        <v>464</v>
      </c>
      <c r="L723" s="1391"/>
      <c r="M723" s="1391"/>
      <c r="N723" s="1392"/>
      <c r="O723" s="1383">
        <v>2170</v>
      </c>
      <c r="P723" s="1384"/>
      <c r="Q723" s="1384"/>
      <c r="R723" s="1384"/>
      <c r="S723" s="1385"/>
      <c r="T723" s="1383">
        <v>0</v>
      </c>
      <c r="U723" s="1384"/>
      <c r="V723" s="1384"/>
      <c r="W723" s="1385"/>
      <c r="X723" s="1401">
        <f t="shared" si="8"/>
        <v>2170</v>
      </c>
      <c r="Y723" s="1402"/>
      <c r="Z723" s="1402"/>
      <c r="AA723" s="1402"/>
      <c r="AB723" s="1403"/>
      <c r="AC723" s="1421">
        <v>0.7</v>
      </c>
      <c r="AD723" s="1422"/>
      <c r="AE723" s="1422"/>
      <c r="AF723" s="1422"/>
      <c r="AG723" s="1423"/>
      <c r="AH723" s="1404">
        <f t="shared" si="36"/>
        <v>0.7</v>
      </c>
      <c r="AI723" s="1405"/>
      <c r="AJ723" s="1406"/>
      <c r="AK723" s="1394" t="s">
        <v>591</v>
      </c>
      <c r="AL723" s="1395"/>
      <c r="AM723" s="1395"/>
      <c r="AN723" s="1395"/>
      <c r="AO723" s="1396"/>
      <c r="AP723" s="3"/>
      <c r="AQ723" s="3"/>
      <c r="AR723" s="3"/>
      <c r="AS723" s="3"/>
      <c r="AY723" s="116"/>
      <c r="AZ723" s="118">
        <f t="shared" si="9"/>
        <v>3100</v>
      </c>
      <c r="BA723" s="3"/>
      <c r="BB723" s="3"/>
      <c r="BC723" s="3"/>
      <c r="BD723" s="3"/>
      <c r="BE723" s="204"/>
      <c r="BF723" s="294">
        <f t="shared" si="10"/>
        <v>50</v>
      </c>
      <c r="BG723" s="297">
        <f t="shared" si="11"/>
        <v>0.18587360594795538</v>
      </c>
      <c r="BH723" s="298">
        <f t="shared" si="12"/>
        <v>0.13011152416356875</v>
      </c>
      <c r="BI723" s="3"/>
      <c r="BJ723" s="3"/>
      <c r="BK723" s="3"/>
      <c r="BL723" s="3"/>
      <c r="BM723" s="3"/>
      <c r="BN723" s="3"/>
      <c r="BS723" s="294">
        <f t="shared" si="13"/>
        <v>50</v>
      </c>
      <c r="BT723" s="297">
        <f t="shared" si="14"/>
        <v>0.18587360594795538</v>
      </c>
      <c r="BU723" s="298">
        <f t="shared" si="15"/>
        <v>0.13011152416356875</v>
      </c>
      <c r="CC723" s="3"/>
      <c r="CD723" s="3"/>
      <c r="CE723" s="3"/>
      <c r="CF723" s="3"/>
      <c r="CG723" s="1523">
        <f t="shared" si="37"/>
        <v>0</v>
      </c>
      <c r="CH723" s="1525"/>
      <c r="CI723" s="1508">
        <f t="shared" si="38"/>
        <v>0</v>
      </c>
      <c r="CJ723" s="1509"/>
      <c r="CK723" s="1523">
        <f t="shared" si="16"/>
        <v>0</v>
      </c>
      <c r="CL723" s="1525"/>
      <c r="CM723" s="1508">
        <f t="shared" si="17"/>
        <v>0</v>
      </c>
      <c r="CN723" s="1509"/>
      <c r="CO723" s="3"/>
      <c r="CP723" s="1510">
        <f t="shared" si="18"/>
        <v>0</v>
      </c>
      <c r="CQ723" s="1511"/>
      <c r="CR723" s="1511"/>
      <c r="CS723" s="1511"/>
      <c r="CT723" s="1512"/>
      <c r="CU723" s="1498">
        <f t="shared" si="19"/>
        <v>50</v>
      </c>
      <c r="CV723" s="1498"/>
      <c r="CW723" s="1498"/>
      <c r="CX723" s="1498"/>
      <c r="CY723" s="1498"/>
      <c r="CZ723" s="1498">
        <f t="shared" si="20"/>
        <v>0</v>
      </c>
      <c r="DA723" s="1498"/>
      <c r="DB723" s="1498"/>
      <c r="DC723" s="1498"/>
      <c r="DD723" s="1498"/>
      <c r="DE723" s="1498">
        <f t="shared" si="21"/>
        <v>0</v>
      </c>
      <c r="DF723" s="1498"/>
      <c r="DG723" s="1498"/>
      <c r="DH723" s="1498"/>
      <c r="DI723" s="1498"/>
      <c r="DJ723" s="1498">
        <f t="shared" si="22"/>
        <v>0</v>
      </c>
      <c r="DK723" s="1498"/>
      <c r="DL723" s="1498"/>
      <c r="DM723" s="1498"/>
      <c r="DN723" s="1498"/>
      <c r="DO723" s="1498">
        <f t="shared" si="23"/>
        <v>0</v>
      </c>
      <c r="DP723" s="1498"/>
      <c r="DQ723" s="1498"/>
      <c r="DR723" s="1498"/>
      <c r="DS723" s="1498"/>
      <c r="DT723" s="6"/>
      <c r="DU723" s="1497">
        <f t="shared" si="24"/>
        <v>0</v>
      </c>
      <c r="DV723" s="1497"/>
      <c r="DW723" s="1497"/>
      <c r="DX723" s="1497"/>
      <c r="DY723" s="1497"/>
      <c r="DZ723" s="1497">
        <f t="shared" si="25"/>
        <v>0</v>
      </c>
      <c r="EA723" s="1497"/>
      <c r="EB723" s="1497"/>
      <c r="EC723" s="1497"/>
      <c r="ED723" s="1497"/>
      <c r="EE723" s="1497">
        <f t="shared" si="26"/>
        <v>0</v>
      </c>
      <c r="EF723" s="1497"/>
      <c r="EG723" s="1497"/>
      <c r="EH723" s="1497"/>
      <c r="EI723" s="1497"/>
      <c r="EJ723" s="1497">
        <f t="shared" si="27"/>
        <v>0</v>
      </c>
      <c r="EK723" s="1497"/>
      <c r="EL723" s="1497"/>
      <c r="EM723" s="1497"/>
      <c r="EN723" s="1497"/>
      <c r="EO723" s="1497">
        <f t="shared" si="28"/>
        <v>0</v>
      </c>
      <c r="EP723" s="1497"/>
      <c r="EQ723" s="1497"/>
      <c r="ER723" s="1497"/>
      <c r="ES723" s="1497"/>
      <c r="ET723" s="1497">
        <f t="shared" si="29"/>
        <v>0</v>
      </c>
      <c r="EU723" s="1497"/>
      <c r="EV723" s="1497"/>
      <c r="EW723" s="1497"/>
      <c r="EX723" s="1497"/>
      <c r="EZ723" s="1523" t="str">
        <f t="shared" si="30"/>
        <v/>
      </c>
      <c r="FA723" s="1524"/>
      <c r="FB723" s="1524"/>
      <c r="FC723" s="1524"/>
      <c r="FD723" s="1525"/>
      <c r="FE723" s="1523">
        <f t="shared" si="31"/>
        <v>2170</v>
      </c>
      <c r="FF723" s="1524"/>
      <c r="FG723" s="1524"/>
      <c r="FH723" s="1524"/>
      <c r="FI723" s="1525"/>
      <c r="FJ723" s="1523" t="str">
        <f t="shared" si="32"/>
        <v/>
      </c>
      <c r="FK723" s="1524"/>
      <c r="FL723" s="1524"/>
      <c r="FM723" s="1524"/>
      <c r="FN723" s="1525"/>
      <c r="FO723" s="1523" t="str">
        <f t="shared" si="33"/>
        <v/>
      </c>
      <c r="FP723" s="1524"/>
      <c r="FQ723" s="1524"/>
      <c r="FR723" s="1524"/>
      <c r="FS723" s="1525"/>
      <c r="FT723" s="1523" t="str">
        <f t="shared" si="34"/>
        <v/>
      </c>
      <c r="FU723" s="1524"/>
      <c r="FV723" s="1524"/>
      <c r="FW723" s="1524"/>
      <c r="FX723" s="1525"/>
      <c r="FY723" s="1523" t="str">
        <f t="shared" si="35"/>
        <v/>
      </c>
      <c r="FZ723" s="1524"/>
      <c r="GA723" s="1524"/>
      <c r="GB723" s="1524"/>
      <c r="GC723" s="1525"/>
    </row>
    <row r="724" spans="1:185" ht="12.95" customHeight="1">
      <c r="B724" s="1394" t="s">
        <v>163</v>
      </c>
      <c r="C724" s="1395"/>
      <c r="D724" s="1395"/>
      <c r="E724" s="1395"/>
      <c r="F724" s="1396"/>
      <c r="G724" s="1398">
        <v>3</v>
      </c>
      <c r="H724" s="1399"/>
      <c r="I724" s="1399"/>
      <c r="J724" s="1400"/>
      <c r="K724" s="1390">
        <v>690</v>
      </c>
      <c r="L724" s="1391"/>
      <c r="M724" s="1391"/>
      <c r="N724" s="1392"/>
      <c r="O724" s="1383">
        <v>1861</v>
      </c>
      <c r="P724" s="1384"/>
      <c r="Q724" s="1384"/>
      <c r="R724" s="1384"/>
      <c r="S724" s="1385"/>
      <c r="T724" s="1383">
        <v>0</v>
      </c>
      <c r="U724" s="1384"/>
      <c r="V724" s="1384"/>
      <c r="W724" s="1385"/>
      <c r="X724" s="1401">
        <f t="shared" si="8"/>
        <v>1861</v>
      </c>
      <c r="Y724" s="1402"/>
      <c r="Z724" s="1402"/>
      <c r="AA724" s="1402"/>
      <c r="AB724" s="1403"/>
      <c r="AC724" s="1421">
        <v>0.5</v>
      </c>
      <c r="AD724" s="1422"/>
      <c r="AE724" s="1422"/>
      <c r="AF724" s="1422"/>
      <c r="AG724" s="1423"/>
      <c r="AH724" s="1404">
        <f t="shared" si="36"/>
        <v>0.5</v>
      </c>
      <c r="AI724" s="1405"/>
      <c r="AJ724" s="1406"/>
      <c r="AK724" s="1394" t="s">
        <v>591</v>
      </c>
      <c r="AL724" s="1395"/>
      <c r="AM724" s="1395"/>
      <c r="AN724" s="1395"/>
      <c r="AO724" s="1396"/>
      <c r="AP724" s="3"/>
      <c r="AQ724" s="3"/>
      <c r="AR724" s="3"/>
      <c r="AS724" s="3"/>
      <c r="AY724" s="116"/>
      <c r="AZ724" s="118">
        <f t="shared" si="9"/>
        <v>3722</v>
      </c>
      <c r="BA724" s="3"/>
      <c r="BB724" s="3"/>
      <c r="BC724" s="3"/>
      <c r="BD724" s="3"/>
      <c r="BE724" s="204"/>
      <c r="BF724" s="294">
        <f t="shared" si="10"/>
        <v>3</v>
      </c>
      <c r="BG724" s="297">
        <f t="shared" si="11"/>
        <v>1.1152416356877323E-2</v>
      </c>
      <c r="BH724" s="298">
        <f t="shared" si="12"/>
        <v>5.5762081784386614E-3</v>
      </c>
      <c r="BI724" s="3"/>
      <c r="BJ724" s="3"/>
      <c r="BK724" s="3"/>
      <c r="BL724" s="3"/>
      <c r="BM724" s="3"/>
      <c r="BN724" s="3"/>
      <c r="BS724" s="294">
        <f t="shared" si="13"/>
        <v>3</v>
      </c>
      <c r="BT724" s="297">
        <f t="shared" si="14"/>
        <v>1.1152416356877323E-2</v>
      </c>
      <c r="BU724" s="298">
        <f t="shared" si="15"/>
        <v>5.5762081784386614E-3</v>
      </c>
      <c r="CC724" s="3"/>
      <c r="CE724" s="3"/>
      <c r="CF724" s="3"/>
      <c r="CG724" s="1523">
        <f t="shared" si="37"/>
        <v>1</v>
      </c>
      <c r="CH724" s="1525"/>
      <c r="CI724" s="1508">
        <f t="shared" si="38"/>
        <v>3</v>
      </c>
      <c r="CJ724" s="1509"/>
      <c r="CK724" s="1523">
        <f t="shared" si="16"/>
        <v>0</v>
      </c>
      <c r="CL724" s="1525"/>
      <c r="CM724" s="1508">
        <f t="shared" si="17"/>
        <v>0</v>
      </c>
      <c r="CN724" s="1509"/>
      <c r="CO724" s="3"/>
      <c r="CP724" s="1510">
        <f t="shared" si="18"/>
        <v>0</v>
      </c>
      <c r="CQ724" s="1511"/>
      <c r="CR724" s="1511"/>
      <c r="CS724" s="1511"/>
      <c r="CT724" s="1512"/>
      <c r="CU724" s="1498">
        <f t="shared" si="19"/>
        <v>0</v>
      </c>
      <c r="CV724" s="1498"/>
      <c r="CW724" s="1498"/>
      <c r="CX724" s="1498"/>
      <c r="CY724" s="1498"/>
      <c r="CZ724" s="1498">
        <f t="shared" si="20"/>
        <v>3</v>
      </c>
      <c r="DA724" s="1498"/>
      <c r="DB724" s="1498"/>
      <c r="DC724" s="1498"/>
      <c r="DD724" s="1498"/>
      <c r="DE724" s="1498">
        <f t="shared" si="21"/>
        <v>0</v>
      </c>
      <c r="DF724" s="1498"/>
      <c r="DG724" s="1498"/>
      <c r="DH724" s="1498"/>
      <c r="DI724" s="1498"/>
      <c r="DJ724" s="1498">
        <f t="shared" si="22"/>
        <v>0</v>
      </c>
      <c r="DK724" s="1498"/>
      <c r="DL724" s="1498"/>
      <c r="DM724" s="1498"/>
      <c r="DN724" s="1498"/>
      <c r="DO724" s="1498">
        <f t="shared" si="23"/>
        <v>0</v>
      </c>
      <c r="DP724" s="1498"/>
      <c r="DQ724" s="1498"/>
      <c r="DR724" s="1498"/>
      <c r="DS724" s="1498"/>
      <c r="DT724" s="6"/>
      <c r="DU724" s="1497">
        <f t="shared" si="24"/>
        <v>0</v>
      </c>
      <c r="DV724" s="1497"/>
      <c r="DW724" s="1497"/>
      <c r="DX724" s="1497"/>
      <c r="DY724" s="1497"/>
      <c r="DZ724" s="1497">
        <f t="shared" si="25"/>
        <v>0</v>
      </c>
      <c r="EA724" s="1497"/>
      <c r="EB724" s="1497"/>
      <c r="EC724" s="1497"/>
      <c r="ED724" s="1497"/>
      <c r="EE724" s="1497">
        <f t="shared" si="26"/>
        <v>0</v>
      </c>
      <c r="EF724" s="1497"/>
      <c r="EG724" s="1497"/>
      <c r="EH724" s="1497"/>
      <c r="EI724" s="1497"/>
      <c r="EJ724" s="1497">
        <f t="shared" si="27"/>
        <v>0</v>
      </c>
      <c r="EK724" s="1497"/>
      <c r="EL724" s="1497"/>
      <c r="EM724" s="1497"/>
      <c r="EN724" s="1497"/>
      <c r="EO724" s="1497">
        <f t="shared" si="28"/>
        <v>0</v>
      </c>
      <c r="EP724" s="1497"/>
      <c r="EQ724" s="1497"/>
      <c r="ER724" s="1497"/>
      <c r="ES724" s="1497"/>
      <c r="ET724" s="1497">
        <f t="shared" si="29"/>
        <v>0</v>
      </c>
      <c r="EU724" s="1497"/>
      <c r="EV724" s="1497"/>
      <c r="EW724" s="1497"/>
      <c r="EX724" s="1497"/>
      <c r="EZ724" s="1523" t="str">
        <f t="shared" si="30"/>
        <v/>
      </c>
      <c r="FA724" s="1524"/>
      <c r="FB724" s="1524"/>
      <c r="FC724" s="1524"/>
      <c r="FD724" s="1525"/>
      <c r="FE724" s="1523" t="str">
        <f t="shared" si="31"/>
        <v/>
      </c>
      <c r="FF724" s="1524"/>
      <c r="FG724" s="1524"/>
      <c r="FH724" s="1524"/>
      <c r="FI724" s="1525"/>
      <c r="FJ724" s="1523">
        <f t="shared" si="32"/>
        <v>1861</v>
      </c>
      <c r="FK724" s="1524"/>
      <c r="FL724" s="1524"/>
      <c r="FM724" s="1524"/>
      <c r="FN724" s="1525"/>
      <c r="FO724" s="1523" t="str">
        <f t="shared" si="33"/>
        <v/>
      </c>
      <c r="FP724" s="1524"/>
      <c r="FQ724" s="1524"/>
      <c r="FR724" s="1524"/>
      <c r="FS724" s="1525"/>
      <c r="FT724" s="1523" t="str">
        <f t="shared" si="34"/>
        <v/>
      </c>
      <c r="FU724" s="1524"/>
      <c r="FV724" s="1524"/>
      <c r="FW724" s="1524"/>
      <c r="FX724" s="1525"/>
      <c r="FY724" s="1523" t="str">
        <f t="shared" si="35"/>
        <v/>
      </c>
      <c r="FZ724" s="1524"/>
      <c r="GA724" s="1524"/>
      <c r="GB724" s="1524"/>
      <c r="GC724" s="1525"/>
    </row>
    <row r="725" spans="1:185" ht="12.95" customHeight="1">
      <c r="B725" s="1394" t="s">
        <v>163</v>
      </c>
      <c r="C725" s="1395"/>
      <c r="D725" s="1395"/>
      <c r="E725" s="1395"/>
      <c r="F725" s="1396"/>
      <c r="G725" s="1398">
        <v>19</v>
      </c>
      <c r="H725" s="1399"/>
      <c r="I725" s="1399"/>
      <c r="J725" s="1400"/>
      <c r="K725" s="1390">
        <v>690</v>
      </c>
      <c r="L725" s="1391"/>
      <c r="M725" s="1391"/>
      <c r="N725" s="1392"/>
      <c r="O725" s="1383">
        <v>2233</v>
      </c>
      <c r="P725" s="1384"/>
      <c r="Q725" s="1384"/>
      <c r="R725" s="1384"/>
      <c r="S725" s="1385"/>
      <c r="T725" s="1383">
        <v>0</v>
      </c>
      <c r="U725" s="1384"/>
      <c r="V725" s="1384"/>
      <c r="W725" s="1385"/>
      <c r="X725" s="1401">
        <f t="shared" si="8"/>
        <v>2233</v>
      </c>
      <c r="Y725" s="1402"/>
      <c r="Z725" s="1402"/>
      <c r="AA725" s="1402"/>
      <c r="AB725" s="1403"/>
      <c r="AC725" s="1421">
        <v>0.6</v>
      </c>
      <c r="AD725" s="1422"/>
      <c r="AE725" s="1422"/>
      <c r="AF725" s="1422"/>
      <c r="AG725" s="1423"/>
      <c r="AH725" s="1404">
        <f t="shared" si="36"/>
        <v>0.59994626544868346</v>
      </c>
      <c r="AI725" s="1405"/>
      <c r="AJ725" s="1406"/>
      <c r="AK725" s="1394" t="s">
        <v>591</v>
      </c>
      <c r="AL725" s="1395"/>
      <c r="AM725" s="1395"/>
      <c r="AN725" s="1395"/>
      <c r="AO725" s="1396"/>
      <c r="AP725" s="3"/>
      <c r="AQ725" s="3"/>
      <c r="AR725" s="3"/>
      <c r="AS725" s="3"/>
      <c r="AY725" s="1085"/>
      <c r="AZ725" s="118">
        <f t="shared" si="9"/>
        <v>3722</v>
      </c>
      <c r="BA725" s="3"/>
      <c r="BB725" s="3"/>
      <c r="BC725" s="3"/>
      <c r="BD725" s="3"/>
      <c r="BE725" s="204"/>
      <c r="BF725" s="294">
        <f t="shared" si="10"/>
        <v>19</v>
      </c>
      <c r="BG725" s="297">
        <f t="shared" si="11"/>
        <v>7.0631970260223054E-2</v>
      </c>
      <c r="BH725" s="298">
        <f t="shared" si="12"/>
        <v>4.2379182156133829E-2</v>
      </c>
      <c r="BI725" s="3"/>
      <c r="BJ725" s="3"/>
      <c r="BK725" s="3"/>
      <c r="BL725" s="3"/>
      <c r="BM725" s="3"/>
      <c r="BN725" s="3"/>
      <c r="BS725" s="294">
        <f t="shared" si="13"/>
        <v>19</v>
      </c>
      <c r="BT725" s="297">
        <f t="shared" si="14"/>
        <v>7.0631970260223054E-2</v>
      </c>
      <c r="BU725" s="298">
        <f t="shared" si="15"/>
        <v>4.2375386778903297E-2</v>
      </c>
      <c r="BV725" s="292"/>
      <c r="BW725" s="3"/>
      <c r="BX725" s="3"/>
      <c r="BY725" s="3"/>
      <c r="BZ725" s="3"/>
      <c r="CA725" s="3"/>
      <c r="CB725" s="3"/>
      <c r="CC725" s="3"/>
      <c r="CE725" s="3"/>
      <c r="CF725" s="3"/>
      <c r="CG725" s="1523">
        <f t="shared" si="37"/>
        <v>0</v>
      </c>
      <c r="CH725" s="1525"/>
      <c r="CI725" s="1508">
        <f t="shared" si="38"/>
        <v>0</v>
      </c>
      <c r="CJ725" s="1509"/>
      <c r="CK725" s="1523">
        <f t="shared" si="16"/>
        <v>0</v>
      </c>
      <c r="CL725" s="1525"/>
      <c r="CM725" s="1508">
        <f t="shared" si="17"/>
        <v>0</v>
      </c>
      <c r="CN725" s="1509"/>
      <c r="CO725" s="3"/>
      <c r="CP725" s="1510">
        <f t="shared" si="18"/>
        <v>0</v>
      </c>
      <c r="CQ725" s="1511"/>
      <c r="CR725" s="1511"/>
      <c r="CS725" s="1511"/>
      <c r="CT725" s="1512"/>
      <c r="CU725" s="1498">
        <f t="shared" si="19"/>
        <v>0</v>
      </c>
      <c r="CV725" s="1498"/>
      <c r="CW725" s="1498"/>
      <c r="CX725" s="1498"/>
      <c r="CY725" s="1498"/>
      <c r="CZ725" s="1498">
        <f t="shared" si="20"/>
        <v>19</v>
      </c>
      <c r="DA725" s="1498"/>
      <c r="DB725" s="1498"/>
      <c r="DC725" s="1498"/>
      <c r="DD725" s="1498"/>
      <c r="DE725" s="1498">
        <f t="shared" si="21"/>
        <v>0</v>
      </c>
      <c r="DF725" s="1498"/>
      <c r="DG725" s="1498"/>
      <c r="DH725" s="1498"/>
      <c r="DI725" s="1498"/>
      <c r="DJ725" s="1498">
        <f t="shared" si="22"/>
        <v>0</v>
      </c>
      <c r="DK725" s="1498"/>
      <c r="DL725" s="1498"/>
      <c r="DM725" s="1498"/>
      <c r="DN725" s="1498"/>
      <c r="DO725" s="1498">
        <f t="shared" si="23"/>
        <v>0</v>
      </c>
      <c r="DP725" s="1498"/>
      <c r="DQ725" s="1498"/>
      <c r="DR725" s="1498"/>
      <c r="DS725" s="1498"/>
      <c r="DT725" s="6"/>
      <c r="DU725" s="1497">
        <f t="shared" si="24"/>
        <v>0</v>
      </c>
      <c r="DV725" s="1497"/>
      <c r="DW725" s="1497"/>
      <c r="DX725" s="1497"/>
      <c r="DY725" s="1497"/>
      <c r="DZ725" s="1497">
        <f t="shared" si="25"/>
        <v>0</v>
      </c>
      <c r="EA725" s="1497"/>
      <c r="EB725" s="1497"/>
      <c r="EC725" s="1497"/>
      <c r="ED725" s="1497"/>
      <c r="EE725" s="1497">
        <f t="shared" si="26"/>
        <v>0</v>
      </c>
      <c r="EF725" s="1497"/>
      <c r="EG725" s="1497"/>
      <c r="EH725" s="1497"/>
      <c r="EI725" s="1497"/>
      <c r="EJ725" s="1497">
        <f t="shared" si="27"/>
        <v>0</v>
      </c>
      <c r="EK725" s="1497"/>
      <c r="EL725" s="1497"/>
      <c r="EM725" s="1497"/>
      <c r="EN725" s="1497"/>
      <c r="EO725" s="1497">
        <f t="shared" si="28"/>
        <v>0</v>
      </c>
      <c r="EP725" s="1497"/>
      <c r="EQ725" s="1497"/>
      <c r="ER725" s="1497"/>
      <c r="ES725" s="1497"/>
      <c r="ET725" s="1497">
        <f t="shared" si="29"/>
        <v>0</v>
      </c>
      <c r="EU725" s="1497"/>
      <c r="EV725" s="1497"/>
      <c r="EW725" s="1497"/>
      <c r="EX725" s="1497"/>
      <c r="EZ725" s="1523" t="str">
        <f t="shared" si="30"/>
        <v/>
      </c>
      <c r="FA725" s="1524"/>
      <c r="FB725" s="1524"/>
      <c r="FC725" s="1524"/>
      <c r="FD725" s="1525"/>
      <c r="FE725" s="1523" t="str">
        <f t="shared" si="31"/>
        <v/>
      </c>
      <c r="FF725" s="1524"/>
      <c r="FG725" s="1524"/>
      <c r="FH725" s="1524"/>
      <c r="FI725" s="1525"/>
      <c r="FJ725" s="1523">
        <f t="shared" si="32"/>
        <v>2233</v>
      </c>
      <c r="FK725" s="1524"/>
      <c r="FL725" s="1524"/>
      <c r="FM725" s="1524"/>
      <c r="FN725" s="1525"/>
      <c r="FO725" s="1523" t="str">
        <f t="shared" si="33"/>
        <v/>
      </c>
      <c r="FP725" s="1524"/>
      <c r="FQ725" s="1524"/>
      <c r="FR725" s="1524"/>
      <c r="FS725" s="1525"/>
      <c r="FT725" s="1523" t="str">
        <f t="shared" si="34"/>
        <v/>
      </c>
      <c r="FU725" s="1524"/>
      <c r="FV725" s="1524"/>
      <c r="FW725" s="1524"/>
      <c r="FX725" s="1525"/>
      <c r="FY725" s="1523" t="str">
        <f t="shared" si="35"/>
        <v/>
      </c>
      <c r="FZ725" s="1524"/>
      <c r="GA725" s="1524"/>
      <c r="GB725" s="1524"/>
      <c r="GC725" s="1525"/>
    </row>
    <row r="726" spans="1:185" ht="12.95" customHeight="1">
      <c r="B726" s="1394" t="s">
        <v>164</v>
      </c>
      <c r="C726" s="1395"/>
      <c r="D726" s="1395"/>
      <c r="E726" s="1395"/>
      <c r="F726" s="1396"/>
      <c r="G726" s="1398">
        <v>2</v>
      </c>
      <c r="H726" s="1399"/>
      <c r="I726" s="1399"/>
      <c r="J726" s="1400"/>
      <c r="K726" s="1390">
        <v>815</v>
      </c>
      <c r="L726" s="1391"/>
      <c r="M726" s="1391"/>
      <c r="N726" s="1392"/>
      <c r="O726" s="1383">
        <v>2150</v>
      </c>
      <c r="P726" s="1384"/>
      <c r="Q726" s="1384"/>
      <c r="R726" s="1384"/>
      <c r="S726" s="1385"/>
      <c r="T726" s="1383">
        <v>0</v>
      </c>
      <c r="U726" s="1384"/>
      <c r="V726" s="1384"/>
      <c r="W726" s="1385"/>
      <c r="X726" s="1401">
        <f t="shared" si="8"/>
        <v>2150</v>
      </c>
      <c r="Y726" s="1402"/>
      <c r="Z726" s="1402"/>
      <c r="AA726" s="1402"/>
      <c r="AB726" s="1403"/>
      <c r="AC726" s="1421">
        <v>0.5</v>
      </c>
      <c r="AD726" s="1422"/>
      <c r="AE726" s="1422"/>
      <c r="AF726" s="1422"/>
      <c r="AG726" s="1423"/>
      <c r="AH726" s="1404">
        <f t="shared" si="36"/>
        <v>0.5</v>
      </c>
      <c r="AI726" s="1405"/>
      <c r="AJ726" s="1406"/>
      <c r="AK726" s="1394" t="s">
        <v>591</v>
      </c>
      <c r="AL726" s="1395"/>
      <c r="AM726" s="1395"/>
      <c r="AN726" s="1395"/>
      <c r="AO726" s="1396"/>
      <c r="AP726" s="3"/>
      <c r="AQ726" s="3"/>
      <c r="AR726" s="3"/>
      <c r="AS726" s="3"/>
      <c r="AY726" s="1085"/>
      <c r="AZ726" s="118">
        <f t="shared" si="9"/>
        <v>4300</v>
      </c>
      <c r="BA726" s="3"/>
      <c r="BB726" s="3"/>
      <c r="BC726" s="3"/>
      <c r="BD726" s="3"/>
      <c r="BE726" s="204"/>
      <c r="BF726" s="294">
        <f t="shared" si="10"/>
        <v>2</v>
      </c>
      <c r="BG726" s="297">
        <f t="shared" si="11"/>
        <v>7.4349442379182153E-3</v>
      </c>
      <c r="BH726" s="298">
        <f t="shared" si="12"/>
        <v>3.7174721189591076E-3</v>
      </c>
      <c r="BI726" s="3"/>
      <c r="BJ726" s="3"/>
      <c r="BK726" s="3"/>
      <c r="BL726" s="3"/>
      <c r="BM726" s="3"/>
      <c r="BN726" s="3"/>
      <c r="BS726" s="294">
        <f t="shared" si="13"/>
        <v>2</v>
      </c>
      <c r="BT726" s="297">
        <f t="shared" si="14"/>
        <v>7.4349442379182153E-3</v>
      </c>
      <c r="BU726" s="298">
        <f t="shared" si="15"/>
        <v>3.7174721189591076E-3</v>
      </c>
      <c r="BV726" s="3"/>
      <c r="BW726" s="3"/>
      <c r="BX726" s="3"/>
      <c r="BY726" s="3"/>
      <c r="BZ726" s="3"/>
      <c r="CA726" s="3"/>
      <c r="CB726" s="3"/>
      <c r="CC726" s="3"/>
      <c r="CE726" s="3"/>
      <c r="CF726" s="3"/>
      <c r="CG726" s="1523">
        <f t="shared" si="37"/>
        <v>1</v>
      </c>
      <c r="CH726" s="1525"/>
      <c r="CI726" s="1508">
        <f t="shared" si="38"/>
        <v>2</v>
      </c>
      <c r="CJ726" s="1509"/>
      <c r="CK726" s="1523">
        <f t="shared" si="16"/>
        <v>0</v>
      </c>
      <c r="CL726" s="1525"/>
      <c r="CM726" s="1508">
        <f t="shared" si="17"/>
        <v>0</v>
      </c>
      <c r="CN726" s="1509"/>
      <c r="CO726" s="3"/>
      <c r="CP726" s="1510">
        <f t="shared" si="18"/>
        <v>0</v>
      </c>
      <c r="CQ726" s="1511"/>
      <c r="CR726" s="1511"/>
      <c r="CS726" s="1511"/>
      <c r="CT726" s="1512"/>
      <c r="CU726" s="1498">
        <f t="shared" si="19"/>
        <v>0</v>
      </c>
      <c r="CV726" s="1498"/>
      <c r="CW726" s="1498"/>
      <c r="CX726" s="1498"/>
      <c r="CY726" s="1498"/>
      <c r="CZ726" s="1498">
        <f t="shared" si="20"/>
        <v>0</v>
      </c>
      <c r="DA726" s="1498"/>
      <c r="DB726" s="1498"/>
      <c r="DC726" s="1498"/>
      <c r="DD726" s="1498"/>
      <c r="DE726" s="1498">
        <f t="shared" si="21"/>
        <v>2</v>
      </c>
      <c r="DF726" s="1498"/>
      <c r="DG726" s="1498"/>
      <c r="DH726" s="1498"/>
      <c r="DI726" s="1498"/>
      <c r="DJ726" s="1498">
        <f t="shared" si="22"/>
        <v>0</v>
      </c>
      <c r="DK726" s="1498"/>
      <c r="DL726" s="1498"/>
      <c r="DM726" s="1498"/>
      <c r="DN726" s="1498"/>
      <c r="DO726" s="1498">
        <f t="shared" si="23"/>
        <v>0</v>
      </c>
      <c r="DP726" s="1498"/>
      <c r="DQ726" s="1498"/>
      <c r="DR726" s="1498"/>
      <c r="DS726" s="1498"/>
      <c r="DT726" s="6"/>
      <c r="DU726" s="1497">
        <f t="shared" si="24"/>
        <v>0</v>
      </c>
      <c r="DV726" s="1497"/>
      <c r="DW726" s="1497"/>
      <c r="DX726" s="1497"/>
      <c r="DY726" s="1497"/>
      <c r="DZ726" s="1497">
        <f t="shared" si="25"/>
        <v>0</v>
      </c>
      <c r="EA726" s="1497"/>
      <c r="EB726" s="1497"/>
      <c r="EC726" s="1497"/>
      <c r="ED726" s="1497"/>
      <c r="EE726" s="1497">
        <f t="shared" si="26"/>
        <v>0</v>
      </c>
      <c r="EF726" s="1497"/>
      <c r="EG726" s="1497"/>
      <c r="EH726" s="1497"/>
      <c r="EI726" s="1497"/>
      <c r="EJ726" s="1497">
        <f t="shared" si="27"/>
        <v>0</v>
      </c>
      <c r="EK726" s="1497"/>
      <c r="EL726" s="1497"/>
      <c r="EM726" s="1497"/>
      <c r="EN726" s="1497"/>
      <c r="EO726" s="1497">
        <f t="shared" si="28"/>
        <v>0</v>
      </c>
      <c r="EP726" s="1497"/>
      <c r="EQ726" s="1497"/>
      <c r="ER726" s="1497"/>
      <c r="ES726" s="1497"/>
      <c r="ET726" s="1497">
        <f t="shared" si="29"/>
        <v>0</v>
      </c>
      <c r="EU726" s="1497"/>
      <c r="EV726" s="1497"/>
      <c r="EW726" s="1497"/>
      <c r="EX726" s="1497"/>
      <c r="EY726" s="4"/>
      <c r="EZ726" s="1523" t="str">
        <f t="shared" si="30"/>
        <v/>
      </c>
      <c r="FA726" s="1524"/>
      <c r="FB726" s="1524"/>
      <c r="FC726" s="1524"/>
      <c r="FD726" s="1525"/>
      <c r="FE726" s="1523" t="str">
        <f t="shared" si="31"/>
        <v/>
      </c>
      <c r="FF726" s="1524"/>
      <c r="FG726" s="1524"/>
      <c r="FH726" s="1524"/>
      <c r="FI726" s="1525"/>
      <c r="FJ726" s="1523" t="str">
        <f t="shared" si="32"/>
        <v/>
      </c>
      <c r="FK726" s="1524"/>
      <c r="FL726" s="1524"/>
      <c r="FM726" s="1524"/>
      <c r="FN726" s="1525"/>
      <c r="FO726" s="1523">
        <f t="shared" si="33"/>
        <v>2150</v>
      </c>
      <c r="FP726" s="1524"/>
      <c r="FQ726" s="1524"/>
      <c r="FR726" s="1524"/>
      <c r="FS726" s="1525"/>
      <c r="FT726" s="1523" t="str">
        <f t="shared" si="34"/>
        <v/>
      </c>
      <c r="FU726" s="1524"/>
      <c r="FV726" s="1524"/>
      <c r="FW726" s="1524"/>
      <c r="FX726" s="1525"/>
      <c r="FY726" s="1523" t="str">
        <f t="shared" si="35"/>
        <v/>
      </c>
      <c r="FZ726" s="1524"/>
      <c r="GA726" s="1524"/>
      <c r="GB726" s="1524"/>
      <c r="GC726" s="1525"/>
    </row>
    <row r="727" spans="1:185" ht="12.95" customHeight="1">
      <c r="A727" s="4"/>
      <c r="B727" s="1394" t="s">
        <v>164</v>
      </c>
      <c r="C727" s="1395"/>
      <c r="D727" s="1395"/>
      <c r="E727" s="1395"/>
      <c r="F727" s="1396"/>
      <c r="G727" s="1398">
        <v>12</v>
      </c>
      <c r="H727" s="1399"/>
      <c r="I727" s="1399"/>
      <c r="J727" s="1400"/>
      <c r="K727" s="1390">
        <v>815</v>
      </c>
      <c r="L727" s="1391"/>
      <c r="M727" s="1391"/>
      <c r="N727" s="1392"/>
      <c r="O727" s="1383">
        <v>3010</v>
      </c>
      <c r="P727" s="1384"/>
      <c r="Q727" s="1384"/>
      <c r="R727" s="1384"/>
      <c r="S727" s="1385"/>
      <c r="T727" s="1383">
        <v>0</v>
      </c>
      <c r="U727" s="1384"/>
      <c r="V727" s="1384"/>
      <c r="W727" s="1385"/>
      <c r="X727" s="1401">
        <f t="shared" si="8"/>
        <v>3010</v>
      </c>
      <c r="Y727" s="1402"/>
      <c r="Z727" s="1402"/>
      <c r="AA727" s="1402"/>
      <c r="AB727" s="1403"/>
      <c r="AC727" s="1421">
        <v>0.7</v>
      </c>
      <c r="AD727" s="1422"/>
      <c r="AE727" s="1422"/>
      <c r="AF727" s="1422"/>
      <c r="AG727" s="1423"/>
      <c r="AH727" s="1404">
        <f t="shared" si="36"/>
        <v>0.7</v>
      </c>
      <c r="AI727" s="1405"/>
      <c r="AJ727" s="1406"/>
      <c r="AK727" s="1394" t="s">
        <v>591</v>
      </c>
      <c r="AL727" s="1395"/>
      <c r="AM727" s="1395"/>
      <c r="AN727" s="1395"/>
      <c r="AO727" s="1396"/>
      <c r="AP727" s="3"/>
      <c r="AQ727" s="3"/>
      <c r="AR727" s="3"/>
      <c r="AS727" s="3"/>
      <c r="AY727" s="1085"/>
      <c r="AZ727" s="118">
        <f t="shared" si="9"/>
        <v>4300</v>
      </c>
      <c r="BA727" s="3"/>
      <c r="BB727" s="3"/>
      <c r="BC727" s="3"/>
      <c r="BD727" s="3"/>
      <c r="BE727" s="204"/>
      <c r="BF727" s="294">
        <f t="shared" si="10"/>
        <v>12</v>
      </c>
      <c r="BG727" s="297">
        <f t="shared" si="11"/>
        <v>4.4609665427509292E-2</v>
      </c>
      <c r="BH727" s="298">
        <f t="shared" si="12"/>
        <v>3.1226765799256501E-2</v>
      </c>
      <c r="BI727" s="3"/>
      <c r="BJ727" s="3"/>
      <c r="BK727" s="3"/>
      <c r="BL727" s="3"/>
      <c r="BM727" s="3"/>
      <c r="BN727" s="3"/>
      <c r="BS727" s="294">
        <f t="shared" si="13"/>
        <v>12</v>
      </c>
      <c r="BT727" s="297">
        <f t="shared" si="14"/>
        <v>4.4609665427509292E-2</v>
      </c>
      <c r="BU727" s="298">
        <f t="shared" si="15"/>
        <v>3.1226765799256501E-2</v>
      </c>
      <c r="BV727" s="3"/>
      <c r="BW727" s="3"/>
      <c r="BX727" s="3"/>
      <c r="BY727" s="3"/>
      <c r="BZ727" s="3"/>
      <c r="CA727" s="3"/>
      <c r="CB727" s="3"/>
      <c r="CC727" s="3"/>
      <c r="CE727" s="3"/>
      <c r="CF727" s="3"/>
      <c r="CG727" s="1523">
        <f t="shared" si="37"/>
        <v>0</v>
      </c>
      <c r="CH727" s="1525"/>
      <c r="CI727" s="1508">
        <f t="shared" si="38"/>
        <v>0</v>
      </c>
      <c r="CJ727" s="1509"/>
      <c r="CK727" s="1523">
        <f t="shared" si="16"/>
        <v>0</v>
      </c>
      <c r="CL727" s="1525"/>
      <c r="CM727" s="1508">
        <f t="shared" si="17"/>
        <v>0</v>
      </c>
      <c r="CN727" s="1509"/>
      <c r="CO727" s="3"/>
      <c r="CP727" s="1510">
        <f t="shared" si="18"/>
        <v>0</v>
      </c>
      <c r="CQ727" s="1511"/>
      <c r="CR727" s="1511"/>
      <c r="CS727" s="1511"/>
      <c r="CT727" s="1512"/>
      <c r="CU727" s="1498">
        <f t="shared" si="19"/>
        <v>0</v>
      </c>
      <c r="CV727" s="1498"/>
      <c r="CW727" s="1498"/>
      <c r="CX727" s="1498"/>
      <c r="CY727" s="1498"/>
      <c r="CZ727" s="1498">
        <f t="shared" si="20"/>
        <v>0</v>
      </c>
      <c r="DA727" s="1498"/>
      <c r="DB727" s="1498"/>
      <c r="DC727" s="1498"/>
      <c r="DD727" s="1498"/>
      <c r="DE727" s="1498">
        <f t="shared" si="21"/>
        <v>12</v>
      </c>
      <c r="DF727" s="1498"/>
      <c r="DG727" s="1498"/>
      <c r="DH727" s="1498"/>
      <c r="DI727" s="1498"/>
      <c r="DJ727" s="1498">
        <f t="shared" si="22"/>
        <v>0</v>
      </c>
      <c r="DK727" s="1498"/>
      <c r="DL727" s="1498"/>
      <c r="DM727" s="1498"/>
      <c r="DN727" s="1498"/>
      <c r="DO727" s="1498">
        <f t="shared" si="23"/>
        <v>0</v>
      </c>
      <c r="DP727" s="1498"/>
      <c r="DQ727" s="1498"/>
      <c r="DR727" s="1498"/>
      <c r="DS727" s="1498"/>
      <c r="DT727" s="6"/>
      <c r="DU727" s="1497">
        <f t="shared" si="24"/>
        <v>0</v>
      </c>
      <c r="DV727" s="1497"/>
      <c r="DW727" s="1497"/>
      <c r="DX727" s="1497"/>
      <c r="DY727" s="1497"/>
      <c r="DZ727" s="1497">
        <f t="shared" si="25"/>
        <v>0</v>
      </c>
      <c r="EA727" s="1497"/>
      <c r="EB727" s="1497"/>
      <c r="EC727" s="1497"/>
      <c r="ED727" s="1497"/>
      <c r="EE727" s="1497">
        <f t="shared" si="26"/>
        <v>0</v>
      </c>
      <c r="EF727" s="1497"/>
      <c r="EG727" s="1497"/>
      <c r="EH727" s="1497"/>
      <c r="EI727" s="1497"/>
      <c r="EJ727" s="1497">
        <f t="shared" si="27"/>
        <v>0</v>
      </c>
      <c r="EK727" s="1497"/>
      <c r="EL727" s="1497"/>
      <c r="EM727" s="1497"/>
      <c r="EN727" s="1497"/>
      <c r="EO727" s="1497">
        <f t="shared" si="28"/>
        <v>0</v>
      </c>
      <c r="EP727" s="1497"/>
      <c r="EQ727" s="1497"/>
      <c r="ER727" s="1497"/>
      <c r="ES727" s="1497"/>
      <c r="ET727" s="1497">
        <f t="shared" si="29"/>
        <v>0</v>
      </c>
      <c r="EU727" s="1497"/>
      <c r="EV727" s="1497"/>
      <c r="EW727" s="1497"/>
      <c r="EX727" s="1497"/>
      <c r="EY727" s="4"/>
      <c r="EZ727" s="1523" t="str">
        <f t="shared" si="30"/>
        <v/>
      </c>
      <c r="FA727" s="1524"/>
      <c r="FB727" s="1524"/>
      <c r="FC727" s="1524"/>
      <c r="FD727" s="1525"/>
      <c r="FE727" s="1523" t="str">
        <f t="shared" si="31"/>
        <v/>
      </c>
      <c r="FF727" s="1524"/>
      <c r="FG727" s="1524"/>
      <c r="FH727" s="1524"/>
      <c r="FI727" s="1525"/>
      <c r="FJ727" s="1523" t="str">
        <f t="shared" si="32"/>
        <v/>
      </c>
      <c r="FK727" s="1524"/>
      <c r="FL727" s="1524"/>
      <c r="FM727" s="1524"/>
      <c r="FN727" s="1525"/>
      <c r="FO727" s="1523">
        <f t="shared" si="33"/>
        <v>3010</v>
      </c>
      <c r="FP727" s="1524"/>
      <c r="FQ727" s="1524"/>
      <c r="FR727" s="1524"/>
      <c r="FS727" s="1525"/>
      <c r="FT727" s="1523" t="str">
        <f t="shared" si="34"/>
        <v/>
      </c>
      <c r="FU727" s="1524"/>
      <c r="FV727" s="1524"/>
      <c r="FW727" s="1524"/>
      <c r="FX727" s="1525"/>
      <c r="FY727" s="1523" t="str">
        <f t="shared" si="35"/>
        <v/>
      </c>
      <c r="FZ727" s="1524"/>
      <c r="GA727" s="1524"/>
      <c r="GB727" s="1524"/>
      <c r="GC727" s="1525"/>
    </row>
    <row r="728" spans="1:185" ht="12.95" customHeight="1">
      <c r="A728" s="4"/>
      <c r="B728" s="1394"/>
      <c r="C728" s="1395"/>
      <c r="D728" s="1395"/>
      <c r="E728" s="1395"/>
      <c r="F728" s="1396"/>
      <c r="G728" s="1398"/>
      <c r="H728" s="1399"/>
      <c r="I728" s="1399"/>
      <c r="J728" s="1400"/>
      <c r="K728" s="1390"/>
      <c r="L728" s="1391"/>
      <c r="M728" s="1391"/>
      <c r="N728" s="1392"/>
      <c r="O728" s="1383"/>
      <c r="P728" s="1384"/>
      <c r="Q728" s="1384"/>
      <c r="R728" s="1384"/>
      <c r="S728" s="1385"/>
      <c r="T728" s="1383"/>
      <c r="U728" s="1384"/>
      <c r="V728" s="1384"/>
      <c r="W728" s="1385"/>
      <c r="X728" s="1401">
        <f t="shared" si="8"/>
        <v>0</v>
      </c>
      <c r="Y728" s="1402"/>
      <c r="Z728" s="1402"/>
      <c r="AA728" s="1402"/>
      <c r="AB728" s="1403"/>
      <c r="AC728" s="1421"/>
      <c r="AD728" s="1422"/>
      <c r="AE728" s="1422"/>
      <c r="AF728" s="1422"/>
      <c r="AG728" s="1423"/>
      <c r="AH728" s="1404" t="str">
        <f t="shared" si="36"/>
        <v/>
      </c>
      <c r="AI728" s="1405"/>
      <c r="AJ728" s="1406"/>
      <c r="AK728" s="1394" t="s">
        <v>591</v>
      </c>
      <c r="AL728" s="1395"/>
      <c r="AM728" s="1395"/>
      <c r="AN728" s="1395"/>
      <c r="AO728" s="1396"/>
      <c r="AP728" s="3"/>
      <c r="AQ728" s="3"/>
      <c r="AR728" s="3"/>
      <c r="AS728" s="3"/>
      <c r="AY728" s="1085"/>
      <c r="AZ728" s="118" t="str">
        <f t="shared" si="9"/>
        <v>N/A</v>
      </c>
      <c r="BA728" s="3"/>
      <c r="BB728" s="3"/>
      <c r="BC728" s="3"/>
      <c r="BD728" s="3"/>
      <c r="BE728" s="204"/>
      <c r="BF728" s="294">
        <f t="shared" si="10"/>
        <v>0</v>
      </c>
      <c r="BG728" s="297">
        <f t="shared" si="11"/>
        <v>0</v>
      </c>
      <c r="BH728" s="298" t="str">
        <f t="shared" si="12"/>
        <v/>
      </c>
      <c r="BI728" s="3"/>
      <c r="BJ728" s="3"/>
      <c r="BK728" s="3"/>
      <c r="BL728" s="3"/>
      <c r="BM728" s="3"/>
      <c r="BN728" s="3"/>
      <c r="BS728" s="294">
        <f t="shared" si="13"/>
        <v>0</v>
      </c>
      <c r="BT728" s="297">
        <f t="shared" si="14"/>
        <v>0</v>
      </c>
      <c r="BU728" s="298" t="str">
        <f t="shared" si="15"/>
        <v/>
      </c>
      <c r="BV728" s="3"/>
      <c r="BW728" s="3"/>
      <c r="BX728" s="3"/>
      <c r="BY728" s="3"/>
      <c r="BZ728" s="3"/>
      <c r="CA728" s="3"/>
      <c r="CB728" s="3"/>
      <c r="CC728" s="3"/>
      <c r="CE728" s="3"/>
      <c r="CF728" s="3"/>
      <c r="CG728" s="1523">
        <f t="shared" si="37"/>
        <v>0</v>
      </c>
      <c r="CH728" s="1525"/>
      <c r="CI728" s="1508">
        <f t="shared" si="38"/>
        <v>0</v>
      </c>
      <c r="CJ728" s="1509"/>
      <c r="CK728" s="1523">
        <f t="shared" si="16"/>
        <v>0</v>
      </c>
      <c r="CL728" s="1525"/>
      <c r="CM728" s="1508">
        <f t="shared" si="17"/>
        <v>0</v>
      </c>
      <c r="CN728" s="1509"/>
      <c r="CO728" s="3"/>
      <c r="CP728" s="1510">
        <f t="shared" si="18"/>
        <v>0</v>
      </c>
      <c r="CQ728" s="1511"/>
      <c r="CR728" s="1511"/>
      <c r="CS728" s="1511"/>
      <c r="CT728" s="1512"/>
      <c r="CU728" s="1498">
        <f t="shared" si="19"/>
        <v>0</v>
      </c>
      <c r="CV728" s="1498"/>
      <c r="CW728" s="1498"/>
      <c r="CX728" s="1498"/>
      <c r="CY728" s="1498"/>
      <c r="CZ728" s="1498">
        <f t="shared" si="20"/>
        <v>0</v>
      </c>
      <c r="DA728" s="1498"/>
      <c r="DB728" s="1498"/>
      <c r="DC728" s="1498"/>
      <c r="DD728" s="1498"/>
      <c r="DE728" s="1498">
        <f t="shared" si="21"/>
        <v>0</v>
      </c>
      <c r="DF728" s="1498"/>
      <c r="DG728" s="1498"/>
      <c r="DH728" s="1498"/>
      <c r="DI728" s="1498"/>
      <c r="DJ728" s="1498">
        <f t="shared" si="22"/>
        <v>0</v>
      </c>
      <c r="DK728" s="1498"/>
      <c r="DL728" s="1498"/>
      <c r="DM728" s="1498"/>
      <c r="DN728" s="1498"/>
      <c r="DO728" s="1498">
        <f t="shared" si="23"/>
        <v>0</v>
      </c>
      <c r="DP728" s="1498"/>
      <c r="DQ728" s="1498"/>
      <c r="DR728" s="1498"/>
      <c r="DS728" s="1498"/>
      <c r="DT728" s="6"/>
      <c r="DU728" s="1497">
        <f t="shared" si="24"/>
        <v>0</v>
      </c>
      <c r="DV728" s="1497"/>
      <c r="DW728" s="1497"/>
      <c r="DX728" s="1497"/>
      <c r="DY728" s="1497"/>
      <c r="DZ728" s="1497">
        <f t="shared" si="25"/>
        <v>0</v>
      </c>
      <c r="EA728" s="1497"/>
      <c r="EB728" s="1497"/>
      <c r="EC728" s="1497"/>
      <c r="ED728" s="1497"/>
      <c r="EE728" s="1497">
        <f t="shared" si="26"/>
        <v>0</v>
      </c>
      <c r="EF728" s="1497"/>
      <c r="EG728" s="1497"/>
      <c r="EH728" s="1497"/>
      <c r="EI728" s="1497"/>
      <c r="EJ728" s="1497">
        <f t="shared" si="27"/>
        <v>0</v>
      </c>
      <c r="EK728" s="1497"/>
      <c r="EL728" s="1497"/>
      <c r="EM728" s="1497"/>
      <c r="EN728" s="1497"/>
      <c r="EO728" s="1497">
        <f t="shared" si="28"/>
        <v>0</v>
      </c>
      <c r="EP728" s="1497"/>
      <c r="EQ728" s="1497"/>
      <c r="ER728" s="1497"/>
      <c r="ES728" s="1497"/>
      <c r="ET728" s="1497">
        <f t="shared" si="29"/>
        <v>0</v>
      </c>
      <c r="EU728" s="1497"/>
      <c r="EV728" s="1497"/>
      <c r="EW728" s="1497"/>
      <c r="EX728" s="1497"/>
      <c r="EY728" s="4"/>
      <c r="EZ728" s="1523" t="str">
        <f t="shared" si="30"/>
        <v/>
      </c>
      <c r="FA728" s="1524"/>
      <c r="FB728" s="1524"/>
      <c r="FC728" s="1524"/>
      <c r="FD728" s="1525"/>
      <c r="FE728" s="1523" t="str">
        <f t="shared" si="31"/>
        <v/>
      </c>
      <c r="FF728" s="1524"/>
      <c r="FG728" s="1524"/>
      <c r="FH728" s="1524"/>
      <c r="FI728" s="1525"/>
      <c r="FJ728" s="1523" t="str">
        <f t="shared" si="32"/>
        <v/>
      </c>
      <c r="FK728" s="1524"/>
      <c r="FL728" s="1524"/>
      <c r="FM728" s="1524"/>
      <c r="FN728" s="1525"/>
      <c r="FO728" s="1523" t="str">
        <f t="shared" si="33"/>
        <v/>
      </c>
      <c r="FP728" s="1524"/>
      <c r="FQ728" s="1524"/>
      <c r="FR728" s="1524"/>
      <c r="FS728" s="1525"/>
      <c r="FT728" s="1523" t="str">
        <f t="shared" si="34"/>
        <v/>
      </c>
      <c r="FU728" s="1524"/>
      <c r="FV728" s="1524"/>
      <c r="FW728" s="1524"/>
      <c r="FX728" s="1525"/>
      <c r="FY728" s="1523" t="str">
        <f t="shared" si="35"/>
        <v/>
      </c>
      <c r="FZ728" s="1524"/>
      <c r="GA728" s="1524"/>
      <c r="GB728" s="1524"/>
      <c r="GC728" s="1525"/>
    </row>
    <row r="729" spans="1:185" ht="12.95" customHeight="1">
      <c r="A729" s="4"/>
      <c r="B729" s="1394"/>
      <c r="C729" s="1395"/>
      <c r="D729" s="1395"/>
      <c r="E729" s="1395"/>
      <c r="F729" s="1396"/>
      <c r="G729" s="1398"/>
      <c r="H729" s="1399"/>
      <c r="I729" s="1399"/>
      <c r="J729" s="1400"/>
      <c r="K729" s="1390"/>
      <c r="L729" s="1391"/>
      <c r="M729" s="1391"/>
      <c r="N729" s="1392"/>
      <c r="O729" s="1383"/>
      <c r="P729" s="1384"/>
      <c r="Q729" s="1384"/>
      <c r="R729" s="1384"/>
      <c r="S729" s="1385"/>
      <c r="T729" s="1383"/>
      <c r="U729" s="1384"/>
      <c r="V729" s="1384"/>
      <c r="W729" s="1385"/>
      <c r="X729" s="1401">
        <f t="shared" si="8"/>
        <v>0</v>
      </c>
      <c r="Y729" s="1402"/>
      <c r="Z729" s="1402"/>
      <c r="AA729" s="1402"/>
      <c r="AB729" s="1403"/>
      <c r="AC729" s="1421"/>
      <c r="AD729" s="1422"/>
      <c r="AE729" s="1422"/>
      <c r="AF729" s="1422"/>
      <c r="AG729" s="1423"/>
      <c r="AH729" s="1404" t="str">
        <f t="shared" si="36"/>
        <v/>
      </c>
      <c r="AI729" s="1405"/>
      <c r="AJ729" s="1406"/>
      <c r="AK729" s="1394" t="s">
        <v>591</v>
      </c>
      <c r="AL729" s="1395"/>
      <c r="AM729" s="1395"/>
      <c r="AN729" s="1395"/>
      <c r="AO729" s="1396"/>
      <c r="AP729" s="3"/>
      <c r="AQ729" s="3"/>
      <c r="AR729" s="3"/>
      <c r="AS729" s="3"/>
      <c r="AY729" s="1085"/>
      <c r="AZ729" s="118" t="str">
        <f t="shared" si="9"/>
        <v>N/A</v>
      </c>
      <c r="BA729" s="3"/>
      <c r="BB729" s="3"/>
      <c r="BC729" s="3"/>
      <c r="BD729" s="3"/>
      <c r="BE729" s="204"/>
      <c r="BF729" s="294">
        <f t="shared" si="10"/>
        <v>0</v>
      </c>
      <c r="BG729" s="297">
        <f t="shared" si="11"/>
        <v>0</v>
      </c>
      <c r="BH729" s="298" t="str">
        <f t="shared" si="12"/>
        <v/>
      </c>
      <c r="BI729" s="3"/>
      <c r="BJ729" s="3"/>
      <c r="BK729" s="3"/>
      <c r="BL729" s="3"/>
      <c r="BM729" s="3"/>
      <c r="BN729" s="3"/>
      <c r="BS729" s="294">
        <f t="shared" si="13"/>
        <v>0</v>
      </c>
      <c r="BT729" s="297">
        <f t="shared" si="14"/>
        <v>0</v>
      </c>
      <c r="BU729" s="298" t="str">
        <f t="shared" si="15"/>
        <v/>
      </c>
      <c r="BV729" s="3"/>
      <c r="BW729" s="3"/>
      <c r="BX729" s="3"/>
      <c r="BY729" s="3"/>
      <c r="BZ729" s="3"/>
      <c r="CA729" s="3"/>
      <c r="CB729" s="3"/>
      <c r="CC729" s="3"/>
      <c r="CE729" s="3"/>
      <c r="CF729" s="3"/>
      <c r="CG729" s="1523">
        <f t="shared" si="37"/>
        <v>0</v>
      </c>
      <c r="CH729" s="1525"/>
      <c r="CI729" s="1508">
        <f t="shared" si="38"/>
        <v>0</v>
      </c>
      <c r="CJ729" s="1509"/>
      <c r="CK729" s="1523">
        <f t="shared" si="16"/>
        <v>0</v>
      </c>
      <c r="CL729" s="1525"/>
      <c r="CM729" s="1508">
        <f t="shared" si="17"/>
        <v>0</v>
      </c>
      <c r="CN729" s="1509"/>
      <c r="CO729" s="3"/>
      <c r="CP729" s="1510">
        <f t="shared" si="18"/>
        <v>0</v>
      </c>
      <c r="CQ729" s="1511"/>
      <c r="CR729" s="1511"/>
      <c r="CS729" s="1511"/>
      <c r="CT729" s="1512"/>
      <c r="CU729" s="1498">
        <f t="shared" si="19"/>
        <v>0</v>
      </c>
      <c r="CV729" s="1498"/>
      <c r="CW729" s="1498"/>
      <c r="CX729" s="1498"/>
      <c r="CY729" s="1498"/>
      <c r="CZ729" s="1498">
        <f t="shared" si="20"/>
        <v>0</v>
      </c>
      <c r="DA729" s="1498"/>
      <c r="DB729" s="1498"/>
      <c r="DC729" s="1498"/>
      <c r="DD729" s="1498"/>
      <c r="DE729" s="1498">
        <f t="shared" si="21"/>
        <v>0</v>
      </c>
      <c r="DF729" s="1498"/>
      <c r="DG729" s="1498"/>
      <c r="DH729" s="1498"/>
      <c r="DI729" s="1498"/>
      <c r="DJ729" s="1498">
        <f t="shared" si="22"/>
        <v>0</v>
      </c>
      <c r="DK729" s="1498"/>
      <c r="DL729" s="1498"/>
      <c r="DM729" s="1498"/>
      <c r="DN729" s="1498"/>
      <c r="DO729" s="1498">
        <f t="shared" si="23"/>
        <v>0</v>
      </c>
      <c r="DP729" s="1498"/>
      <c r="DQ729" s="1498"/>
      <c r="DR729" s="1498"/>
      <c r="DS729" s="1498"/>
      <c r="DT729" s="6"/>
      <c r="DU729" s="1497">
        <f t="shared" si="24"/>
        <v>0</v>
      </c>
      <c r="DV729" s="1497"/>
      <c r="DW729" s="1497"/>
      <c r="DX729" s="1497"/>
      <c r="DY729" s="1497"/>
      <c r="DZ729" s="1497">
        <f t="shared" si="25"/>
        <v>0</v>
      </c>
      <c r="EA729" s="1497"/>
      <c r="EB729" s="1497"/>
      <c r="EC729" s="1497"/>
      <c r="ED729" s="1497"/>
      <c r="EE729" s="1497">
        <f t="shared" si="26"/>
        <v>0</v>
      </c>
      <c r="EF729" s="1497"/>
      <c r="EG729" s="1497"/>
      <c r="EH729" s="1497"/>
      <c r="EI729" s="1497"/>
      <c r="EJ729" s="1497">
        <f t="shared" si="27"/>
        <v>0</v>
      </c>
      <c r="EK729" s="1497"/>
      <c r="EL729" s="1497"/>
      <c r="EM729" s="1497"/>
      <c r="EN729" s="1497"/>
      <c r="EO729" s="1497">
        <f t="shared" si="28"/>
        <v>0</v>
      </c>
      <c r="EP729" s="1497"/>
      <c r="EQ729" s="1497"/>
      <c r="ER729" s="1497"/>
      <c r="ES729" s="1497"/>
      <c r="ET729" s="1497">
        <f t="shared" si="29"/>
        <v>0</v>
      </c>
      <c r="EU729" s="1497"/>
      <c r="EV729" s="1497"/>
      <c r="EW729" s="1497"/>
      <c r="EX729" s="1497"/>
      <c r="EZ729" s="1523" t="str">
        <f t="shared" si="30"/>
        <v/>
      </c>
      <c r="FA729" s="1524"/>
      <c r="FB729" s="1524"/>
      <c r="FC729" s="1524"/>
      <c r="FD729" s="1525"/>
      <c r="FE729" s="1523" t="str">
        <f t="shared" si="31"/>
        <v/>
      </c>
      <c r="FF729" s="1524"/>
      <c r="FG729" s="1524"/>
      <c r="FH729" s="1524"/>
      <c r="FI729" s="1525"/>
      <c r="FJ729" s="1523" t="str">
        <f t="shared" si="32"/>
        <v/>
      </c>
      <c r="FK729" s="1524"/>
      <c r="FL729" s="1524"/>
      <c r="FM729" s="1524"/>
      <c r="FN729" s="1525"/>
      <c r="FO729" s="1523" t="str">
        <f t="shared" si="33"/>
        <v/>
      </c>
      <c r="FP729" s="1524"/>
      <c r="FQ729" s="1524"/>
      <c r="FR729" s="1524"/>
      <c r="FS729" s="1525"/>
      <c r="FT729" s="1523" t="str">
        <f t="shared" si="34"/>
        <v/>
      </c>
      <c r="FU729" s="1524"/>
      <c r="FV729" s="1524"/>
      <c r="FW729" s="1524"/>
      <c r="FX729" s="1525"/>
      <c r="FY729" s="1523" t="str">
        <f t="shared" si="35"/>
        <v/>
      </c>
      <c r="FZ729" s="1524"/>
      <c r="GA729" s="1524"/>
      <c r="GB729" s="1524"/>
      <c r="GC729" s="1525"/>
    </row>
    <row r="730" spans="1:185" ht="12.95" customHeight="1">
      <c r="B730" s="1394"/>
      <c r="C730" s="1395"/>
      <c r="D730" s="1395"/>
      <c r="E730" s="1395"/>
      <c r="F730" s="1396"/>
      <c r="G730" s="1398"/>
      <c r="H730" s="1399"/>
      <c r="I730" s="1399"/>
      <c r="J730" s="1400"/>
      <c r="K730" s="1390"/>
      <c r="L730" s="1391"/>
      <c r="M730" s="1391"/>
      <c r="N730" s="1392"/>
      <c r="O730" s="1383"/>
      <c r="P730" s="1384"/>
      <c r="Q730" s="1384"/>
      <c r="R730" s="1384"/>
      <c r="S730" s="1385"/>
      <c r="T730" s="1383"/>
      <c r="U730" s="1384"/>
      <c r="V730" s="1384"/>
      <c r="W730" s="1385"/>
      <c r="X730" s="1401">
        <f t="shared" si="8"/>
        <v>0</v>
      </c>
      <c r="Y730" s="1402"/>
      <c r="Z730" s="1402"/>
      <c r="AA730" s="1402"/>
      <c r="AB730" s="1403"/>
      <c r="AC730" s="1421"/>
      <c r="AD730" s="1422"/>
      <c r="AE730" s="1422"/>
      <c r="AF730" s="1422"/>
      <c r="AG730" s="1423"/>
      <c r="AH730" s="1404" t="str">
        <f t="shared" si="36"/>
        <v/>
      </c>
      <c r="AI730" s="1405"/>
      <c r="AJ730" s="1406"/>
      <c r="AK730" s="1394" t="s">
        <v>591</v>
      </c>
      <c r="AL730" s="1395"/>
      <c r="AM730" s="1395"/>
      <c r="AN730" s="1395"/>
      <c r="AO730" s="1396"/>
      <c r="AP730" s="3"/>
      <c r="AQ730" s="3"/>
      <c r="AR730" s="3"/>
      <c r="AS730" s="3"/>
      <c r="AY730" s="1085"/>
      <c r="AZ730" s="118" t="str">
        <f t="shared" si="9"/>
        <v>N/A</v>
      </c>
      <c r="BA730" s="3"/>
      <c r="BB730" s="3"/>
      <c r="BC730" s="3"/>
      <c r="BD730" s="3"/>
      <c r="BE730" s="204"/>
      <c r="BF730" s="294">
        <f t="shared" si="10"/>
        <v>0</v>
      </c>
      <c r="BG730" s="297">
        <f t="shared" si="11"/>
        <v>0</v>
      </c>
      <c r="BH730" s="298" t="str">
        <f t="shared" si="12"/>
        <v/>
      </c>
      <c r="BI730" s="3"/>
      <c r="BJ730" s="3"/>
      <c r="BK730" s="3"/>
      <c r="BL730" s="3"/>
      <c r="BM730" s="3"/>
      <c r="BN730" s="3"/>
      <c r="BS730" s="294">
        <f t="shared" si="13"/>
        <v>0</v>
      </c>
      <c r="BT730" s="297">
        <f t="shared" si="14"/>
        <v>0</v>
      </c>
      <c r="BU730" s="298" t="str">
        <f t="shared" si="15"/>
        <v/>
      </c>
      <c r="BV730" s="3"/>
      <c r="BW730" s="3"/>
      <c r="BX730" s="3"/>
      <c r="BY730" s="3"/>
      <c r="BZ730" s="3"/>
      <c r="CA730" s="3"/>
      <c r="CB730" s="3"/>
      <c r="CC730" s="3"/>
      <c r="CE730" s="3"/>
      <c r="CF730" s="3"/>
      <c r="CG730" s="1523">
        <f t="shared" si="37"/>
        <v>0</v>
      </c>
      <c r="CH730" s="1525"/>
      <c r="CI730" s="1508">
        <f t="shared" si="38"/>
        <v>0</v>
      </c>
      <c r="CJ730" s="1509"/>
      <c r="CK730" s="1523">
        <f t="shared" si="16"/>
        <v>0</v>
      </c>
      <c r="CL730" s="1525"/>
      <c r="CM730" s="1508">
        <f t="shared" si="17"/>
        <v>0</v>
      </c>
      <c r="CN730" s="1509"/>
      <c r="CO730" s="3"/>
      <c r="CP730" s="1510">
        <f t="shared" si="18"/>
        <v>0</v>
      </c>
      <c r="CQ730" s="1511"/>
      <c r="CR730" s="1511"/>
      <c r="CS730" s="1511"/>
      <c r="CT730" s="1512"/>
      <c r="CU730" s="1498">
        <f t="shared" si="19"/>
        <v>0</v>
      </c>
      <c r="CV730" s="1498"/>
      <c r="CW730" s="1498"/>
      <c r="CX730" s="1498"/>
      <c r="CY730" s="1498"/>
      <c r="CZ730" s="1498">
        <f t="shared" si="20"/>
        <v>0</v>
      </c>
      <c r="DA730" s="1498"/>
      <c r="DB730" s="1498"/>
      <c r="DC730" s="1498"/>
      <c r="DD730" s="1498"/>
      <c r="DE730" s="1498">
        <f t="shared" si="21"/>
        <v>0</v>
      </c>
      <c r="DF730" s="1498"/>
      <c r="DG730" s="1498"/>
      <c r="DH730" s="1498"/>
      <c r="DI730" s="1498"/>
      <c r="DJ730" s="1498">
        <f t="shared" si="22"/>
        <v>0</v>
      </c>
      <c r="DK730" s="1498"/>
      <c r="DL730" s="1498"/>
      <c r="DM730" s="1498"/>
      <c r="DN730" s="1498"/>
      <c r="DO730" s="1498">
        <f t="shared" si="23"/>
        <v>0</v>
      </c>
      <c r="DP730" s="1498"/>
      <c r="DQ730" s="1498"/>
      <c r="DR730" s="1498"/>
      <c r="DS730" s="1498"/>
      <c r="DT730" s="6"/>
      <c r="DU730" s="1497">
        <f t="shared" si="24"/>
        <v>0</v>
      </c>
      <c r="DV730" s="1497"/>
      <c r="DW730" s="1497"/>
      <c r="DX730" s="1497"/>
      <c r="DY730" s="1497"/>
      <c r="DZ730" s="1497">
        <f t="shared" si="25"/>
        <v>0</v>
      </c>
      <c r="EA730" s="1497"/>
      <c r="EB730" s="1497"/>
      <c r="EC730" s="1497"/>
      <c r="ED730" s="1497"/>
      <c r="EE730" s="1497">
        <f t="shared" si="26"/>
        <v>0</v>
      </c>
      <c r="EF730" s="1497"/>
      <c r="EG730" s="1497"/>
      <c r="EH730" s="1497"/>
      <c r="EI730" s="1497"/>
      <c r="EJ730" s="1497">
        <f t="shared" si="27"/>
        <v>0</v>
      </c>
      <c r="EK730" s="1497"/>
      <c r="EL730" s="1497"/>
      <c r="EM730" s="1497"/>
      <c r="EN730" s="1497"/>
      <c r="EO730" s="1497">
        <f t="shared" si="28"/>
        <v>0</v>
      </c>
      <c r="EP730" s="1497"/>
      <c r="EQ730" s="1497"/>
      <c r="ER730" s="1497"/>
      <c r="ES730" s="1497"/>
      <c r="ET730" s="1497">
        <f t="shared" si="29"/>
        <v>0</v>
      </c>
      <c r="EU730" s="1497"/>
      <c r="EV730" s="1497"/>
      <c r="EW730" s="1497"/>
      <c r="EX730" s="1497"/>
      <c r="EZ730" s="1523" t="str">
        <f t="shared" si="30"/>
        <v/>
      </c>
      <c r="FA730" s="1524"/>
      <c r="FB730" s="1524"/>
      <c r="FC730" s="1524"/>
      <c r="FD730" s="1525"/>
      <c r="FE730" s="1523" t="str">
        <f t="shared" si="31"/>
        <v/>
      </c>
      <c r="FF730" s="1524"/>
      <c r="FG730" s="1524"/>
      <c r="FH730" s="1524"/>
      <c r="FI730" s="1525"/>
      <c r="FJ730" s="1523" t="str">
        <f t="shared" si="32"/>
        <v/>
      </c>
      <c r="FK730" s="1524"/>
      <c r="FL730" s="1524"/>
      <c r="FM730" s="1524"/>
      <c r="FN730" s="1525"/>
      <c r="FO730" s="1523" t="str">
        <f t="shared" si="33"/>
        <v/>
      </c>
      <c r="FP730" s="1524"/>
      <c r="FQ730" s="1524"/>
      <c r="FR730" s="1524"/>
      <c r="FS730" s="1525"/>
      <c r="FT730" s="1523" t="str">
        <f t="shared" si="34"/>
        <v/>
      </c>
      <c r="FU730" s="1524"/>
      <c r="FV730" s="1524"/>
      <c r="FW730" s="1524"/>
      <c r="FX730" s="1525"/>
      <c r="FY730" s="1523" t="str">
        <f t="shared" si="35"/>
        <v/>
      </c>
      <c r="FZ730" s="1524"/>
      <c r="GA730" s="1524"/>
      <c r="GB730" s="1524"/>
      <c r="GC730" s="1525"/>
    </row>
    <row r="731" spans="1:185" ht="12.95" customHeight="1">
      <c r="B731" s="1394"/>
      <c r="C731" s="1395"/>
      <c r="D731" s="1395"/>
      <c r="E731" s="1395"/>
      <c r="F731" s="1396"/>
      <c r="G731" s="1398"/>
      <c r="H731" s="1399"/>
      <c r="I731" s="1399"/>
      <c r="J731" s="1400"/>
      <c r="K731" s="1390"/>
      <c r="L731" s="1391"/>
      <c r="M731" s="1391"/>
      <c r="N731" s="1392"/>
      <c r="O731" s="1383"/>
      <c r="P731" s="1384"/>
      <c r="Q731" s="1384"/>
      <c r="R731" s="1384"/>
      <c r="S731" s="1385"/>
      <c r="T731" s="1383"/>
      <c r="U731" s="1384"/>
      <c r="V731" s="1384"/>
      <c r="W731" s="1385"/>
      <c r="X731" s="1401">
        <f t="shared" si="8"/>
        <v>0</v>
      </c>
      <c r="Y731" s="1402"/>
      <c r="Z731" s="1402"/>
      <c r="AA731" s="1402"/>
      <c r="AB731" s="1403"/>
      <c r="AC731" s="1421"/>
      <c r="AD731" s="1422"/>
      <c r="AE731" s="1422"/>
      <c r="AF731" s="1422"/>
      <c r="AG731" s="1423"/>
      <c r="AH731" s="1404" t="str">
        <f t="shared" si="36"/>
        <v/>
      </c>
      <c r="AI731" s="1405"/>
      <c r="AJ731" s="1406"/>
      <c r="AK731" s="1394" t="s">
        <v>591</v>
      </c>
      <c r="AL731" s="1395"/>
      <c r="AM731" s="1395"/>
      <c r="AN731" s="1395"/>
      <c r="AO731" s="1396"/>
      <c r="AP731" s="3"/>
      <c r="AQ731" s="3"/>
      <c r="AR731" s="3"/>
      <c r="AS731" s="3"/>
      <c r="AY731" s="1085"/>
      <c r="AZ731" s="118" t="str">
        <f t="shared" si="9"/>
        <v>N/A</v>
      </c>
      <c r="BA731" s="3"/>
      <c r="BB731" s="3"/>
      <c r="BC731" s="3"/>
      <c r="BD731" s="3"/>
      <c r="BE731" s="204"/>
      <c r="BF731" s="294">
        <f t="shared" si="10"/>
        <v>0</v>
      </c>
      <c r="BG731" s="297">
        <f t="shared" si="11"/>
        <v>0</v>
      </c>
      <c r="BH731" s="298" t="str">
        <f t="shared" si="12"/>
        <v/>
      </c>
      <c r="BI731" s="3"/>
      <c r="BJ731" s="3"/>
      <c r="BK731" s="3"/>
      <c r="BL731" s="3"/>
      <c r="BM731" s="3"/>
      <c r="BN731" s="3"/>
      <c r="BS731" s="294">
        <f t="shared" si="13"/>
        <v>0</v>
      </c>
      <c r="BT731" s="297">
        <f t="shared" si="14"/>
        <v>0</v>
      </c>
      <c r="BU731" s="298" t="str">
        <f t="shared" si="15"/>
        <v/>
      </c>
      <c r="BV731" s="3"/>
      <c r="BW731" s="3"/>
      <c r="BX731" s="3"/>
      <c r="BY731" s="3"/>
      <c r="BZ731" s="3"/>
      <c r="CA731" s="3"/>
      <c r="CB731" s="3"/>
      <c r="CC731" s="3"/>
      <c r="CE731" s="3"/>
      <c r="CF731" s="3"/>
      <c r="CG731" s="1523">
        <f t="shared" si="37"/>
        <v>0</v>
      </c>
      <c r="CH731" s="1525"/>
      <c r="CI731" s="1508">
        <f t="shared" si="38"/>
        <v>0</v>
      </c>
      <c r="CJ731" s="1509"/>
      <c r="CK731" s="1523">
        <f t="shared" si="16"/>
        <v>0</v>
      </c>
      <c r="CL731" s="1525"/>
      <c r="CM731" s="1508">
        <f t="shared" si="17"/>
        <v>0</v>
      </c>
      <c r="CN731" s="1509"/>
      <c r="CO731" s="3"/>
      <c r="CP731" s="1510">
        <f t="shared" si="18"/>
        <v>0</v>
      </c>
      <c r="CQ731" s="1511"/>
      <c r="CR731" s="1511"/>
      <c r="CS731" s="1511"/>
      <c r="CT731" s="1512"/>
      <c r="CU731" s="1498">
        <f t="shared" si="19"/>
        <v>0</v>
      </c>
      <c r="CV731" s="1498"/>
      <c r="CW731" s="1498"/>
      <c r="CX731" s="1498"/>
      <c r="CY731" s="1498"/>
      <c r="CZ731" s="1498">
        <f t="shared" si="20"/>
        <v>0</v>
      </c>
      <c r="DA731" s="1498"/>
      <c r="DB731" s="1498"/>
      <c r="DC731" s="1498"/>
      <c r="DD731" s="1498"/>
      <c r="DE731" s="1498">
        <f t="shared" si="21"/>
        <v>0</v>
      </c>
      <c r="DF731" s="1498"/>
      <c r="DG731" s="1498"/>
      <c r="DH731" s="1498"/>
      <c r="DI731" s="1498"/>
      <c r="DJ731" s="1498">
        <f t="shared" si="22"/>
        <v>0</v>
      </c>
      <c r="DK731" s="1498"/>
      <c r="DL731" s="1498"/>
      <c r="DM731" s="1498"/>
      <c r="DN731" s="1498"/>
      <c r="DO731" s="1498">
        <f t="shared" si="23"/>
        <v>0</v>
      </c>
      <c r="DP731" s="1498"/>
      <c r="DQ731" s="1498"/>
      <c r="DR731" s="1498"/>
      <c r="DS731" s="1498"/>
      <c r="DT731" s="6"/>
      <c r="DU731" s="1497">
        <f t="shared" si="24"/>
        <v>0</v>
      </c>
      <c r="DV731" s="1497"/>
      <c r="DW731" s="1497"/>
      <c r="DX731" s="1497"/>
      <c r="DY731" s="1497"/>
      <c r="DZ731" s="1497">
        <f t="shared" si="25"/>
        <v>0</v>
      </c>
      <c r="EA731" s="1497"/>
      <c r="EB731" s="1497"/>
      <c r="EC731" s="1497"/>
      <c r="ED731" s="1497"/>
      <c r="EE731" s="1497">
        <f t="shared" si="26"/>
        <v>0</v>
      </c>
      <c r="EF731" s="1497"/>
      <c r="EG731" s="1497"/>
      <c r="EH731" s="1497"/>
      <c r="EI731" s="1497"/>
      <c r="EJ731" s="1497">
        <f t="shared" si="27"/>
        <v>0</v>
      </c>
      <c r="EK731" s="1497"/>
      <c r="EL731" s="1497"/>
      <c r="EM731" s="1497"/>
      <c r="EN731" s="1497"/>
      <c r="EO731" s="1497">
        <f t="shared" si="28"/>
        <v>0</v>
      </c>
      <c r="EP731" s="1497"/>
      <c r="EQ731" s="1497"/>
      <c r="ER731" s="1497"/>
      <c r="ES731" s="1497"/>
      <c r="ET731" s="1497">
        <f t="shared" si="29"/>
        <v>0</v>
      </c>
      <c r="EU731" s="1497"/>
      <c r="EV731" s="1497"/>
      <c r="EW731" s="1497"/>
      <c r="EX731" s="1497"/>
      <c r="EZ731" s="1523" t="str">
        <f t="shared" si="30"/>
        <v/>
      </c>
      <c r="FA731" s="1524"/>
      <c r="FB731" s="1524"/>
      <c r="FC731" s="1524"/>
      <c r="FD731" s="1525"/>
      <c r="FE731" s="1523" t="str">
        <f t="shared" si="31"/>
        <v/>
      </c>
      <c r="FF731" s="1524"/>
      <c r="FG731" s="1524"/>
      <c r="FH731" s="1524"/>
      <c r="FI731" s="1525"/>
      <c r="FJ731" s="1523" t="str">
        <f t="shared" si="32"/>
        <v/>
      </c>
      <c r="FK731" s="1524"/>
      <c r="FL731" s="1524"/>
      <c r="FM731" s="1524"/>
      <c r="FN731" s="1525"/>
      <c r="FO731" s="1523" t="str">
        <f t="shared" si="33"/>
        <v/>
      </c>
      <c r="FP731" s="1524"/>
      <c r="FQ731" s="1524"/>
      <c r="FR731" s="1524"/>
      <c r="FS731" s="1525"/>
      <c r="FT731" s="1523" t="str">
        <f t="shared" si="34"/>
        <v/>
      </c>
      <c r="FU731" s="1524"/>
      <c r="FV731" s="1524"/>
      <c r="FW731" s="1524"/>
      <c r="FX731" s="1525"/>
      <c r="FY731" s="1523" t="str">
        <f t="shared" si="35"/>
        <v/>
      </c>
      <c r="FZ731" s="1524"/>
      <c r="GA731" s="1524"/>
      <c r="GB731" s="1524"/>
      <c r="GC731" s="1525"/>
    </row>
    <row r="732" spans="1:185" ht="12.95" customHeight="1">
      <c r="B732" s="1394"/>
      <c r="C732" s="1395"/>
      <c r="D732" s="1395"/>
      <c r="E732" s="1395"/>
      <c r="F732" s="1396"/>
      <c r="G732" s="1398"/>
      <c r="H732" s="1399"/>
      <c r="I732" s="1399"/>
      <c r="J732" s="1400"/>
      <c r="K732" s="1390"/>
      <c r="L732" s="1391"/>
      <c r="M732" s="1391"/>
      <c r="N732" s="1392"/>
      <c r="O732" s="1383"/>
      <c r="P732" s="1384"/>
      <c r="Q732" s="1384"/>
      <c r="R732" s="1384"/>
      <c r="S732" s="1385"/>
      <c r="T732" s="1383"/>
      <c r="U732" s="1384"/>
      <c r="V732" s="1384"/>
      <c r="W732" s="1385"/>
      <c r="X732" s="1401">
        <f t="shared" si="8"/>
        <v>0</v>
      </c>
      <c r="Y732" s="1402"/>
      <c r="Z732" s="1402"/>
      <c r="AA732" s="1402"/>
      <c r="AB732" s="1403"/>
      <c r="AC732" s="1421"/>
      <c r="AD732" s="1422"/>
      <c r="AE732" s="1422"/>
      <c r="AF732" s="1422"/>
      <c r="AG732" s="1423"/>
      <c r="AH732" s="1404" t="str">
        <f t="shared" si="36"/>
        <v/>
      </c>
      <c r="AI732" s="1405"/>
      <c r="AJ732" s="1406"/>
      <c r="AK732" s="1394" t="s">
        <v>591</v>
      </c>
      <c r="AL732" s="1395"/>
      <c r="AM732" s="1395"/>
      <c r="AN732" s="1395"/>
      <c r="AO732" s="1396"/>
      <c r="AP732" s="3"/>
      <c r="AQ732" s="3"/>
      <c r="AR732" s="3"/>
      <c r="AS732" s="3"/>
      <c r="AY732" s="1085"/>
      <c r="AZ732" s="118" t="str">
        <f t="shared" si="9"/>
        <v>N/A</v>
      </c>
      <c r="BA732" s="3"/>
      <c r="BB732" s="3"/>
      <c r="BC732" s="3"/>
      <c r="BD732" s="3"/>
      <c r="BE732" s="204"/>
      <c r="BF732" s="294">
        <f t="shared" si="10"/>
        <v>0</v>
      </c>
      <c r="BG732" s="297">
        <f t="shared" si="11"/>
        <v>0</v>
      </c>
      <c r="BH732" s="298" t="str">
        <f t="shared" si="12"/>
        <v/>
      </c>
      <c r="BI732" s="3"/>
      <c r="BJ732" s="3"/>
      <c r="BK732" s="3"/>
      <c r="BL732" s="3"/>
      <c r="BM732" s="3"/>
      <c r="BN732" s="3"/>
      <c r="BS732" s="294">
        <f t="shared" si="13"/>
        <v>0</v>
      </c>
      <c r="BT732" s="297">
        <f t="shared" si="14"/>
        <v>0</v>
      </c>
      <c r="BU732" s="298" t="str">
        <f t="shared" si="15"/>
        <v/>
      </c>
      <c r="BV732" s="3"/>
      <c r="BW732" s="3"/>
      <c r="BX732" s="3"/>
      <c r="BY732" s="3"/>
      <c r="BZ732" s="3"/>
      <c r="CA732" s="3"/>
      <c r="CB732" s="3"/>
      <c r="CC732" s="3"/>
      <c r="CE732" s="3"/>
      <c r="CF732" s="3"/>
      <c r="CG732" s="1523">
        <f t="shared" si="37"/>
        <v>0</v>
      </c>
      <c r="CH732" s="1525"/>
      <c r="CI732" s="1508">
        <f t="shared" si="38"/>
        <v>0</v>
      </c>
      <c r="CJ732" s="1509"/>
      <c r="CK732" s="1523">
        <f t="shared" si="16"/>
        <v>0</v>
      </c>
      <c r="CL732" s="1525"/>
      <c r="CM732" s="1508">
        <f t="shared" si="17"/>
        <v>0</v>
      </c>
      <c r="CN732" s="1509"/>
      <c r="CO732" s="3"/>
      <c r="CP732" s="1510">
        <f t="shared" si="18"/>
        <v>0</v>
      </c>
      <c r="CQ732" s="1511"/>
      <c r="CR732" s="1511"/>
      <c r="CS732" s="1511"/>
      <c r="CT732" s="1512"/>
      <c r="CU732" s="1498">
        <f t="shared" si="19"/>
        <v>0</v>
      </c>
      <c r="CV732" s="1498"/>
      <c r="CW732" s="1498"/>
      <c r="CX732" s="1498"/>
      <c r="CY732" s="1498"/>
      <c r="CZ732" s="1498">
        <f t="shared" si="20"/>
        <v>0</v>
      </c>
      <c r="DA732" s="1498"/>
      <c r="DB732" s="1498"/>
      <c r="DC732" s="1498"/>
      <c r="DD732" s="1498"/>
      <c r="DE732" s="1498">
        <f t="shared" si="21"/>
        <v>0</v>
      </c>
      <c r="DF732" s="1498"/>
      <c r="DG732" s="1498"/>
      <c r="DH732" s="1498"/>
      <c r="DI732" s="1498"/>
      <c r="DJ732" s="1498">
        <f t="shared" si="22"/>
        <v>0</v>
      </c>
      <c r="DK732" s="1498"/>
      <c r="DL732" s="1498"/>
      <c r="DM732" s="1498"/>
      <c r="DN732" s="1498"/>
      <c r="DO732" s="1498">
        <f t="shared" si="23"/>
        <v>0</v>
      </c>
      <c r="DP732" s="1498"/>
      <c r="DQ732" s="1498"/>
      <c r="DR732" s="1498"/>
      <c r="DS732" s="1498"/>
      <c r="DT732" s="6"/>
      <c r="DU732" s="1497">
        <f t="shared" si="24"/>
        <v>0</v>
      </c>
      <c r="DV732" s="1497"/>
      <c r="DW732" s="1497"/>
      <c r="DX732" s="1497"/>
      <c r="DY732" s="1497"/>
      <c r="DZ732" s="1497">
        <f t="shared" si="25"/>
        <v>0</v>
      </c>
      <c r="EA732" s="1497"/>
      <c r="EB732" s="1497"/>
      <c r="EC732" s="1497"/>
      <c r="ED732" s="1497"/>
      <c r="EE732" s="1497">
        <f t="shared" si="26"/>
        <v>0</v>
      </c>
      <c r="EF732" s="1497"/>
      <c r="EG732" s="1497"/>
      <c r="EH732" s="1497"/>
      <c r="EI732" s="1497"/>
      <c r="EJ732" s="1497">
        <f t="shared" si="27"/>
        <v>0</v>
      </c>
      <c r="EK732" s="1497"/>
      <c r="EL732" s="1497"/>
      <c r="EM732" s="1497"/>
      <c r="EN732" s="1497"/>
      <c r="EO732" s="1497">
        <f t="shared" si="28"/>
        <v>0</v>
      </c>
      <c r="EP732" s="1497"/>
      <c r="EQ732" s="1497"/>
      <c r="ER732" s="1497"/>
      <c r="ES732" s="1497"/>
      <c r="ET732" s="1497">
        <f t="shared" si="29"/>
        <v>0</v>
      </c>
      <c r="EU732" s="1497"/>
      <c r="EV732" s="1497"/>
      <c r="EW732" s="1497"/>
      <c r="EX732" s="1497"/>
      <c r="EZ732" s="1523" t="str">
        <f t="shared" si="30"/>
        <v/>
      </c>
      <c r="FA732" s="1524"/>
      <c r="FB732" s="1524"/>
      <c r="FC732" s="1524"/>
      <c r="FD732" s="1525"/>
      <c r="FE732" s="1523" t="str">
        <f t="shared" si="31"/>
        <v/>
      </c>
      <c r="FF732" s="1524"/>
      <c r="FG732" s="1524"/>
      <c r="FH732" s="1524"/>
      <c r="FI732" s="1525"/>
      <c r="FJ732" s="1523" t="str">
        <f t="shared" si="32"/>
        <v/>
      </c>
      <c r="FK732" s="1524"/>
      <c r="FL732" s="1524"/>
      <c r="FM732" s="1524"/>
      <c r="FN732" s="1525"/>
      <c r="FO732" s="1523" t="str">
        <f t="shared" si="33"/>
        <v/>
      </c>
      <c r="FP732" s="1524"/>
      <c r="FQ732" s="1524"/>
      <c r="FR732" s="1524"/>
      <c r="FS732" s="1525"/>
      <c r="FT732" s="1523" t="str">
        <f t="shared" si="34"/>
        <v/>
      </c>
      <c r="FU732" s="1524"/>
      <c r="FV732" s="1524"/>
      <c r="FW732" s="1524"/>
      <c r="FX732" s="1525"/>
      <c r="FY732" s="1523" t="str">
        <f t="shared" si="35"/>
        <v/>
      </c>
      <c r="FZ732" s="1524"/>
      <c r="GA732" s="1524"/>
      <c r="GB732" s="1524"/>
      <c r="GC732" s="1525"/>
    </row>
    <row r="733" spans="1:185" ht="12.95" customHeight="1">
      <c r="B733" s="1394"/>
      <c r="C733" s="1395"/>
      <c r="D733" s="1395"/>
      <c r="E733" s="1395"/>
      <c r="F733" s="1396"/>
      <c r="G733" s="1398"/>
      <c r="H733" s="1399"/>
      <c r="I733" s="1399"/>
      <c r="J733" s="1400"/>
      <c r="K733" s="1390"/>
      <c r="L733" s="1391"/>
      <c r="M733" s="1391"/>
      <c r="N733" s="1392"/>
      <c r="O733" s="1383"/>
      <c r="P733" s="1384"/>
      <c r="Q733" s="1384"/>
      <c r="R733" s="1384"/>
      <c r="S733" s="1385"/>
      <c r="T733" s="1383"/>
      <c r="U733" s="1384"/>
      <c r="V733" s="1384"/>
      <c r="W733" s="1385"/>
      <c r="X733" s="1401">
        <f t="shared" si="8"/>
        <v>0</v>
      </c>
      <c r="Y733" s="1402"/>
      <c r="Z733" s="1402"/>
      <c r="AA733" s="1402"/>
      <c r="AB733" s="1403"/>
      <c r="AC733" s="1421"/>
      <c r="AD733" s="1422"/>
      <c r="AE733" s="1422"/>
      <c r="AF733" s="1422"/>
      <c r="AG733" s="1423"/>
      <c r="AH733" s="1404" t="str">
        <f t="shared" si="36"/>
        <v/>
      </c>
      <c r="AI733" s="1405"/>
      <c r="AJ733" s="1406"/>
      <c r="AK733" s="1394" t="s">
        <v>591</v>
      </c>
      <c r="AL733" s="1395"/>
      <c r="AM733" s="1395"/>
      <c r="AN733" s="1395"/>
      <c r="AO733" s="1396"/>
      <c r="AP733" s="3"/>
      <c r="AQ733" s="3"/>
      <c r="AR733" s="3"/>
      <c r="AS733" s="3"/>
      <c r="AY733" s="1085"/>
      <c r="AZ733" s="118" t="str">
        <f t="shared" si="9"/>
        <v>N/A</v>
      </c>
      <c r="BA733" s="3"/>
      <c r="BB733" s="3"/>
      <c r="BC733" s="3"/>
      <c r="BD733" s="3"/>
      <c r="BE733" s="204"/>
      <c r="BF733" s="294">
        <f t="shared" si="10"/>
        <v>0</v>
      </c>
      <c r="BG733" s="297">
        <f t="shared" si="11"/>
        <v>0</v>
      </c>
      <c r="BH733" s="298" t="str">
        <f t="shared" si="12"/>
        <v/>
      </c>
      <c r="BI733" s="3"/>
      <c r="BJ733" s="3"/>
      <c r="BK733" s="3"/>
      <c r="BL733" s="3"/>
      <c r="BM733" s="3"/>
      <c r="BN733" s="3"/>
      <c r="BS733" s="294">
        <f t="shared" si="13"/>
        <v>0</v>
      </c>
      <c r="BT733" s="297">
        <f t="shared" si="14"/>
        <v>0</v>
      </c>
      <c r="BU733" s="298" t="str">
        <f t="shared" si="15"/>
        <v/>
      </c>
      <c r="BV733" s="3"/>
      <c r="BW733" s="3"/>
      <c r="BX733" s="3"/>
      <c r="BY733" s="3"/>
      <c r="BZ733" s="3"/>
      <c r="CA733" s="3"/>
      <c r="CB733" s="3"/>
      <c r="CC733" s="3"/>
      <c r="CE733" s="3"/>
      <c r="CF733" s="3"/>
      <c r="CG733" s="1523">
        <f t="shared" si="37"/>
        <v>0</v>
      </c>
      <c r="CH733" s="1525"/>
      <c r="CI733" s="1508">
        <f t="shared" si="38"/>
        <v>0</v>
      </c>
      <c r="CJ733" s="1509"/>
      <c r="CK733" s="1523">
        <f t="shared" si="16"/>
        <v>0</v>
      </c>
      <c r="CL733" s="1525"/>
      <c r="CM733" s="1508">
        <f t="shared" si="17"/>
        <v>0</v>
      </c>
      <c r="CN733" s="1509"/>
      <c r="CO733" s="3"/>
      <c r="CP733" s="1510">
        <f t="shared" si="18"/>
        <v>0</v>
      </c>
      <c r="CQ733" s="1511"/>
      <c r="CR733" s="1511"/>
      <c r="CS733" s="1511"/>
      <c r="CT733" s="1512"/>
      <c r="CU733" s="1498">
        <f t="shared" si="19"/>
        <v>0</v>
      </c>
      <c r="CV733" s="1498"/>
      <c r="CW733" s="1498"/>
      <c r="CX733" s="1498"/>
      <c r="CY733" s="1498"/>
      <c r="CZ733" s="1498">
        <f t="shared" si="20"/>
        <v>0</v>
      </c>
      <c r="DA733" s="1498"/>
      <c r="DB733" s="1498"/>
      <c r="DC733" s="1498"/>
      <c r="DD733" s="1498"/>
      <c r="DE733" s="1498">
        <f t="shared" si="21"/>
        <v>0</v>
      </c>
      <c r="DF733" s="1498"/>
      <c r="DG733" s="1498"/>
      <c r="DH733" s="1498"/>
      <c r="DI733" s="1498"/>
      <c r="DJ733" s="1498">
        <f t="shared" si="22"/>
        <v>0</v>
      </c>
      <c r="DK733" s="1498"/>
      <c r="DL733" s="1498"/>
      <c r="DM733" s="1498"/>
      <c r="DN733" s="1498"/>
      <c r="DO733" s="1498">
        <f t="shared" si="23"/>
        <v>0</v>
      </c>
      <c r="DP733" s="1498"/>
      <c r="DQ733" s="1498"/>
      <c r="DR733" s="1498"/>
      <c r="DS733" s="1498"/>
      <c r="DT733" s="6"/>
      <c r="DU733" s="1497">
        <f t="shared" si="24"/>
        <v>0</v>
      </c>
      <c r="DV733" s="1497"/>
      <c r="DW733" s="1497"/>
      <c r="DX733" s="1497"/>
      <c r="DY733" s="1497"/>
      <c r="DZ733" s="1497">
        <f t="shared" si="25"/>
        <v>0</v>
      </c>
      <c r="EA733" s="1497"/>
      <c r="EB733" s="1497"/>
      <c r="EC733" s="1497"/>
      <c r="ED733" s="1497"/>
      <c r="EE733" s="1497">
        <f t="shared" si="26"/>
        <v>0</v>
      </c>
      <c r="EF733" s="1497"/>
      <c r="EG733" s="1497"/>
      <c r="EH733" s="1497"/>
      <c r="EI733" s="1497"/>
      <c r="EJ733" s="1497">
        <f t="shared" si="27"/>
        <v>0</v>
      </c>
      <c r="EK733" s="1497"/>
      <c r="EL733" s="1497"/>
      <c r="EM733" s="1497"/>
      <c r="EN733" s="1497"/>
      <c r="EO733" s="1497">
        <f t="shared" si="28"/>
        <v>0</v>
      </c>
      <c r="EP733" s="1497"/>
      <c r="EQ733" s="1497"/>
      <c r="ER733" s="1497"/>
      <c r="ES733" s="1497"/>
      <c r="ET733" s="1497">
        <f t="shared" si="29"/>
        <v>0</v>
      </c>
      <c r="EU733" s="1497"/>
      <c r="EV733" s="1497"/>
      <c r="EW733" s="1497"/>
      <c r="EX733" s="1497"/>
      <c r="EZ733" s="1523" t="str">
        <f t="shared" si="30"/>
        <v/>
      </c>
      <c r="FA733" s="1524"/>
      <c r="FB733" s="1524"/>
      <c r="FC733" s="1524"/>
      <c r="FD733" s="1525"/>
      <c r="FE733" s="1523" t="str">
        <f t="shared" si="31"/>
        <v/>
      </c>
      <c r="FF733" s="1524"/>
      <c r="FG733" s="1524"/>
      <c r="FH733" s="1524"/>
      <c r="FI733" s="1525"/>
      <c r="FJ733" s="1523" t="str">
        <f t="shared" si="32"/>
        <v/>
      </c>
      <c r="FK733" s="1524"/>
      <c r="FL733" s="1524"/>
      <c r="FM733" s="1524"/>
      <c r="FN733" s="1525"/>
      <c r="FO733" s="1523" t="str">
        <f t="shared" si="33"/>
        <v/>
      </c>
      <c r="FP733" s="1524"/>
      <c r="FQ733" s="1524"/>
      <c r="FR733" s="1524"/>
      <c r="FS733" s="1525"/>
      <c r="FT733" s="1523" t="str">
        <f t="shared" si="34"/>
        <v/>
      </c>
      <c r="FU733" s="1524"/>
      <c r="FV733" s="1524"/>
      <c r="FW733" s="1524"/>
      <c r="FX733" s="1525"/>
      <c r="FY733" s="1523" t="str">
        <f t="shared" si="35"/>
        <v/>
      </c>
      <c r="FZ733" s="1524"/>
      <c r="GA733" s="1524"/>
      <c r="GB733" s="1524"/>
      <c r="GC733" s="1525"/>
    </row>
    <row r="734" spans="1:185" ht="12.95" customHeight="1">
      <c r="B734" s="1394"/>
      <c r="C734" s="1395"/>
      <c r="D734" s="1395"/>
      <c r="E734" s="1395"/>
      <c r="F734" s="1396"/>
      <c r="G734" s="1398"/>
      <c r="H734" s="1399"/>
      <c r="I734" s="1399"/>
      <c r="J734" s="1400"/>
      <c r="K734" s="1390"/>
      <c r="L734" s="1391"/>
      <c r="M734" s="1391"/>
      <c r="N734" s="1392"/>
      <c r="O734" s="1383"/>
      <c r="P734" s="1384"/>
      <c r="Q734" s="1384"/>
      <c r="R734" s="1384"/>
      <c r="S734" s="1385"/>
      <c r="T734" s="1383"/>
      <c r="U734" s="1384"/>
      <c r="V734" s="1384"/>
      <c r="W734" s="1385"/>
      <c r="X734" s="1401">
        <f t="shared" si="8"/>
        <v>0</v>
      </c>
      <c r="Y734" s="1402"/>
      <c r="Z734" s="1402"/>
      <c r="AA734" s="1402"/>
      <c r="AB734" s="1403"/>
      <c r="AC734" s="1421"/>
      <c r="AD734" s="1422"/>
      <c r="AE734" s="1422"/>
      <c r="AF734" s="1422"/>
      <c r="AG734" s="1423"/>
      <c r="AH734" s="1404" t="str">
        <f t="shared" si="36"/>
        <v/>
      </c>
      <c r="AI734" s="1405"/>
      <c r="AJ734" s="1406"/>
      <c r="AK734" s="1394" t="s">
        <v>591</v>
      </c>
      <c r="AL734" s="1395"/>
      <c r="AM734" s="1395"/>
      <c r="AN734" s="1395"/>
      <c r="AO734" s="1396"/>
      <c r="AP734" s="3"/>
      <c r="AQ734" s="3"/>
      <c r="AR734" s="3"/>
      <c r="AS734" s="3"/>
      <c r="AY734" s="1085"/>
      <c r="AZ734" s="118" t="str">
        <f t="shared" si="9"/>
        <v>N/A</v>
      </c>
      <c r="BA734" s="3"/>
      <c r="BB734" s="3"/>
      <c r="BC734" s="3"/>
      <c r="BD734" s="3"/>
      <c r="BE734" s="204"/>
      <c r="BF734" s="294">
        <f t="shared" si="10"/>
        <v>0</v>
      </c>
      <c r="BG734" s="297">
        <f t="shared" si="11"/>
        <v>0</v>
      </c>
      <c r="BH734" s="298" t="str">
        <f t="shared" si="12"/>
        <v/>
      </c>
      <c r="BI734" s="3"/>
      <c r="BJ734" s="3"/>
      <c r="BK734" s="3"/>
      <c r="BL734" s="3"/>
      <c r="BM734" s="3"/>
      <c r="BN734" s="3"/>
      <c r="BS734" s="294">
        <f t="shared" si="13"/>
        <v>0</v>
      </c>
      <c r="BT734" s="297">
        <f t="shared" si="14"/>
        <v>0</v>
      </c>
      <c r="BU734" s="298" t="str">
        <f t="shared" si="15"/>
        <v/>
      </c>
      <c r="BV734" s="3"/>
      <c r="BW734" s="3"/>
      <c r="BX734" s="3"/>
      <c r="BY734" s="3"/>
      <c r="BZ734" s="3"/>
      <c r="CA734" s="3"/>
      <c r="CB734" s="3"/>
      <c r="CC734" s="3"/>
      <c r="CE734" s="3"/>
      <c r="CF734" s="3"/>
      <c r="CG734" s="1523">
        <f t="shared" si="37"/>
        <v>0</v>
      </c>
      <c r="CH734" s="1525"/>
      <c r="CI734" s="1508">
        <f t="shared" si="38"/>
        <v>0</v>
      </c>
      <c r="CJ734" s="1509"/>
      <c r="CK734" s="1523">
        <f t="shared" si="16"/>
        <v>0</v>
      </c>
      <c r="CL734" s="1525"/>
      <c r="CM734" s="1508">
        <f t="shared" si="17"/>
        <v>0</v>
      </c>
      <c r="CN734" s="1509"/>
      <c r="CO734" s="3"/>
      <c r="CP734" s="1510">
        <f t="shared" si="18"/>
        <v>0</v>
      </c>
      <c r="CQ734" s="1511"/>
      <c r="CR734" s="1511"/>
      <c r="CS734" s="1511"/>
      <c r="CT734" s="1512"/>
      <c r="CU734" s="1498">
        <f t="shared" si="19"/>
        <v>0</v>
      </c>
      <c r="CV734" s="1498"/>
      <c r="CW734" s="1498"/>
      <c r="CX734" s="1498"/>
      <c r="CY734" s="1498"/>
      <c r="CZ734" s="1498">
        <f t="shared" si="20"/>
        <v>0</v>
      </c>
      <c r="DA734" s="1498"/>
      <c r="DB734" s="1498"/>
      <c r="DC734" s="1498"/>
      <c r="DD734" s="1498"/>
      <c r="DE734" s="1498">
        <f t="shared" si="21"/>
        <v>0</v>
      </c>
      <c r="DF734" s="1498"/>
      <c r="DG734" s="1498"/>
      <c r="DH734" s="1498"/>
      <c r="DI734" s="1498"/>
      <c r="DJ734" s="1498">
        <f t="shared" si="22"/>
        <v>0</v>
      </c>
      <c r="DK734" s="1498"/>
      <c r="DL734" s="1498"/>
      <c r="DM734" s="1498"/>
      <c r="DN734" s="1498"/>
      <c r="DO734" s="1498">
        <f t="shared" si="23"/>
        <v>0</v>
      </c>
      <c r="DP734" s="1498"/>
      <c r="DQ734" s="1498"/>
      <c r="DR734" s="1498"/>
      <c r="DS734" s="1498"/>
      <c r="DT734" s="6"/>
      <c r="DU734" s="1497">
        <f t="shared" si="24"/>
        <v>0</v>
      </c>
      <c r="DV734" s="1497"/>
      <c r="DW734" s="1497"/>
      <c r="DX734" s="1497"/>
      <c r="DY734" s="1497"/>
      <c r="DZ734" s="1497">
        <f t="shared" si="25"/>
        <v>0</v>
      </c>
      <c r="EA734" s="1497"/>
      <c r="EB734" s="1497"/>
      <c r="EC734" s="1497"/>
      <c r="ED734" s="1497"/>
      <c r="EE734" s="1497">
        <f t="shared" si="26"/>
        <v>0</v>
      </c>
      <c r="EF734" s="1497"/>
      <c r="EG734" s="1497"/>
      <c r="EH734" s="1497"/>
      <c r="EI734" s="1497"/>
      <c r="EJ734" s="1497">
        <f t="shared" si="27"/>
        <v>0</v>
      </c>
      <c r="EK734" s="1497"/>
      <c r="EL734" s="1497"/>
      <c r="EM734" s="1497"/>
      <c r="EN734" s="1497"/>
      <c r="EO734" s="1497">
        <f t="shared" si="28"/>
        <v>0</v>
      </c>
      <c r="EP734" s="1497"/>
      <c r="EQ734" s="1497"/>
      <c r="ER734" s="1497"/>
      <c r="ES734" s="1497"/>
      <c r="ET734" s="1497">
        <f t="shared" si="29"/>
        <v>0</v>
      </c>
      <c r="EU734" s="1497"/>
      <c r="EV734" s="1497"/>
      <c r="EW734" s="1497"/>
      <c r="EX734" s="1497"/>
      <c r="EZ734" s="1523" t="str">
        <f t="shared" si="30"/>
        <v/>
      </c>
      <c r="FA734" s="1524"/>
      <c r="FB734" s="1524"/>
      <c r="FC734" s="1524"/>
      <c r="FD734" s="1525"/>
      <c r="FE734" s="1523" t="str">
        <f t="shared" si="31"/>
        <v/>
      </c>
      <c r="FF734" s="1524"/>
      <c r="FG734" s="1524"/>
      <c r="FH734" s="1524"/>
      <c r="FI734" s="1525"/>
      <c r="FJ734" s="1523" t="str">
        <f t="shared" si="32"/>
        <v/>
      </c>
      <c r="FK734" s="1524"/>
      <c r="FL734" s="1524"/>
      <c r="FM734" s="1524"/>
      <c r="FN734" s="1525"/>
      <c r="FO734" s="1523" t="str">
        <f t="shared" si="33"/>
        <v/>
      </c>
      <c r="FP734" s="1524"/>
      <c r="FQ734" s="1524"/>
      <c r="FR734" s="1524"/>
      <c r="FS734" s="1525"/>
      <c r="FT734" s="1523" t="str">
        <f t="shared" si="34"/>
        <v/>
      </c>
      <c r="FU734" s="1524"/>
      <c r="FV734" s="1524"/>
      <c r="FW734" s="1524"/>
      <c r="FX734" s="1525"/>
      <c r="FY734" s="1523" t="str">
        <f t="shared" si="35"/>
        <v/>
      </c>
      <c r="FZ734" s="1524"/>
      <c r="GA734" s="1524"/>
      <c r="GB734" s="1524"/>
      <c r="GC734" s="1525"/>
    </row>
    <row r="735" spans="1:185" ht="12.95" customHeight="1">
      <c r="B735" s="1394"/>
      <c r="C735" s="1395"/>
      <c r="D735" s="1395"/>
      <c r="E735" s="1395"/>
      <c r="F735" s="1396"/>
      <c r="G735" s="1398"/>
      <c r="H735" s="1399"/>
      <c r="I735" s="1399"/>
      <c r="J735" s="1400"/>
      <c r="K735" s="1390"/>
      <c r="L735" s="1391"/>
      <c r="M735" s="1391"/>
      <c r="N735" s="1392"/>
      <c r="O735" s="1383"/>
      <c r="P735" s="1384"/>
      <c r="Q735" s="1384"/>
      <c r="R735" s="1384"/>
      <c r="S735" s="1385"/>
      <c r="T735" s="1383"/>
      <c r="U735" s="1384"/>
      <c r="V735" s="1384"/>
      <c r="W735" s="1385"/>
      <c r="X735" s="1401">
        <f t="shared" si="8"/>
        <v>0</v>
      </c>
      <c r="Y735" s="1402"/>
      <c r="Z735" s="1402"/>
      <c r="AA735" s="1402"/>
      <c r="AB735" s="1403"/>
      <c r="AC735" s="1421"/>
      <c r="AD735" s="1422"/>
      <c r="AE735" s="1422"/>
      <c r="AF735" s="1422"/>
      <c r="AG735" s="1423"/>
      <c r="AH735" s="1404" t="str">
        <f t="shared" si="36"/>
        <v/>
      </c>
      <c r="AI735" s="1405"/>
      <c r="AJ735" s="1406"/>
      <c r="AK735" s="1394" t="s">
        <v>591</v>
      </c>
      <c r="AL735" s="1395"/>
      <c r="AM735" s="1395"/>
      <c r="AN735" s="1395"/>
      <c r="AO735" s="1396"/>
      <c r="AP735" s="3"/>
      <c r="AQ735" s="3"/>
      <c r="AR735" s="3"/>
      <c r="AS735" s="3"/>
      <c r="AY735" s="1085"/>
      <c r="AZ735" s="118" t="str">
        <f t="shared" si="9"/>
        <v>N/A</v>
      </c>
      <c r="BA735" s="3"/>
      <c r="BB735" s="3"/>
      <c r="BC735" s="3"/>
      <c r="BD735" s="3"/>
      <c r="BE735" s="204"/>
      <c r="BF735" s="294">
        <f t="shared" si="10"/>
        <v>0</v>
      </c>
      <c r="BG735" s="297">
        <f t="shared" si="11"/>
        <v>0</v>
      </c>
      <c r="BH735" s="298" t="str">
        <f t="shared" si="12"/>
        <v/>
      </c>
      <c r="BI735" s="3"/>
      <c r="BJ735" s="3"/>
      <c r="BK735" s="3"/>
      <c r="BL735" s="3"/>
      <c r="BM735" s="3"/>
      <c r="BN735" s="3"/>
      <c r="BS735" s="294">
        <f t="shared" si="13"/>
        <v>0</v>
      </c>
      <c r="BT735" s="297">
        <f t="shared" si="14"/>
        <v>0</v>
      </c>
      <c r="BU735" s="298" t="str">
        <f t="shared" si="15"/>
        <v/>
      </c>
      <c r="BV735" s="3"/>
      <c r="BW735" s="3"/>
      <c r="BX735" s="3"/>
      <c r="BY735" s="3"/>
      <c r="BZ735" s="3"/>
      <c r="CA735" s="3"/>
      <c r="CB735" s="3"/>
      <c r="CC735" s="3"/>
      <c r="CE735" s="3"/>
      <c r="CF735" s="3"/>
      <c r="CG735" s="1523">
        <f t="shared" si="37"/>
        <v>0</v>
      </c>
      <c r="CH735" s="1525"/>
      <c r="CI735" s="1508">
        <f t="shared" si="38"/>
        <v>0</v>
      </c>
      <c r="CJ735" s="1509"/>
      <c r="CK735" s="1523">
        <f t="shared" si="16"/>
        <v>0</v>
      </c>
      <c r="CL735" s="1525"/>
      <c r="CM735" s="1508">
        <f t="shared" si="17"/>
        <v>0</v>
      </c>
      <c r="CN735" s="1509"/>
      <c r="CO735" s="3"/>
      <c r="CP735" s="1510">
        <f t="shared" si="18"/>
        <v>0</v>
      </c>
      <c r="CQ735" s="1511"/>
      <c r="CR735" s="1511"/>
      <c r="CS735" s="1511"/>
      <c r="CT735" s="1512"/>
      <c r="CU735" s="1498">
        <f t="shared" si="19"/>
        <v>0</v>
      </c>
      <c r="CV735" s="1498"/>
      <c r="CW735" s="1498"/>
      <c r="CX735" s="1498"/>
      <c r="CY735" s="1498"/>
      <c r="CZ735" s="1498">
        <f t="shared" si="20"/>
        <v>0</v>
      </c>
      <c r="DA735" s="1498"/>
      <c r="DB735" s="1498"/>
      <c r="DC735" s="1498"/>
      <c r="DD735" s="1498"/>
      <c r="DE735" s="1498">
        <f t="shared" si="21"/>
        <v>0</v>
      </c>
      <c r="DF735" s="1498"/>
      <c r="DG735" s="1498"/>
      <c r="DH735" s="1498"/>
      <c r="DI735" s="1498"/>
      <c r="DJ735" s="1498">
        <f t="shared" si="22"/>
        <v>0</v>
      </c>
      <c r="DK735" s="1498"/>
      <c r="DL735" s="1498"/>
      <c r="DM735" s="1498"/>
      <c r="DN735" s="1498"/>
      <c r="DO735" s="1498">
        <f t="shared" si="23"/>
        <v>0</v>
      </c>
      <c r="DP735" s="1498"/>
      <c r="DQ735" s="1498"/>
      <c r="DR735" s="1498"/>
      <c r="DS735" s="1498"/>
      <c r="DT735" s="6"/>
      <c r="DU735" s="1497">
        <f t="shared" si="24"/>
        <v>0</v>
      </c>
      <c r="DV735" s="1497"/>
      <c r="DW735" s="1497"/>
      <c r="DX735" s="1497"/>
      <c r="DY735" s="1497"/>
      <c r="DZ735" s="1497">
        <f t="shared" si="25"/>
        <v>0</v>
      </c>
      <c r="EA735" s="1497"/>
      <c r="EB735" s="1497"/>
      <c r="EC735" s="1497"/>
      <c r="ED735" s="1497"/>
      <c r="EE735" s="1497">
        <f t="shared" si="26"/>
        <v>0</v>
      </c>
      <c r="EF735" s="1497"/>
      <c r="EG735" s="1497"/>
      <c r="EH735" s="1497"/>
      <c r="EI735" s="1497"/>
      <c r="EJ735" s="1497">
        <f t="shared" si="27"/>
        <v>0</v>
      </c>
      <c r="EK735" s="1497"/>
      <c r="EL735" s="1497"/>
      <c r="EM735" s="1497"/>
      <c r="EN735" s="1497"/>
      <c r="EO735" s="1497">
        <f t="shared" si="28"/>
        <v>0</v>
      </c>
      <c r="EP735" s="1497"/>
      <c r="EQ735" s="1497"/>
      <c r="ER735" s="1497"/>
      <c r="ES735" s="1497"/>
      <c r="ET735" s="1497">
        <f t="shared" si="29"/>
        <v>0</v>
      </c>
      <c r="EU735" s="1497"/>
      <c r="EV735" s="1497"/>
      <c r="EW735" s="1497"/>
      <c r="EX735" s="1497"/>
      <c r="EZ735" s="1523" t="str">
        <f t="shared" si="30"/>
        <v/>
      </c>
      <c r="FA735" s="1524"/>
      <c r="FB735" s="1524"/>
      <c r="FC735" s="1524"/>
      <c r="FD735" s="1525"/>
      <c r="FE735" s="1523" t="str">
        <f t="shared" si="31"/>
        <v/>
      </c>
      <c r="FF735" s="1524"/>
      <c r="FG735" s="1524"/>
      <c r="FH735" s="1524"/>
      <c r="FI735" s="1525"/>
      <c r="FJ735" s="1523" t="str">
        <f t="shared" si="32"/>
        <v/>
      </c>
      <c r="FK735" s="1524"/>
      <c r="FL735" s="1524"/>
      <c r="FM735" s="1524"/>
      <c r="FN735" s="1525"/>
      <c r="FO735" s="1523" t="str">
        <f t="shared" si="33"/>
        <v/>
      </c>
      <c r="FP735" s="1524"/>
      <c r="FQ735" s="1524"/>
      <c r="FR735" s="1524"/>
      <c r="FS735" s="1525"/>
      <c r="FT735" s="1523" t="str">
        <f t="shared" si="34"/>
        <v/>
      </c>
      <c r="FU735" s="1524"/>
      <c r="FV735" s="1524"/>
      <c r="FW735" s="1524"/>
      <c r="FX735" s="1525"/>
      <c r="FY735" s="1523" t="str">
        <f t="shared" si="35"/>
        <v/>
      </c>
      <c r="FZ735" s="1524"/>
      <c r="GA735" s="1524"/>
      <c r="GB735" s="1524"/>
      <c r="GC735" s="1525"/>
    </row>
    <row r="736" spans="1:185" ht="12.95" customHeight="1">
      <c r="B736" s="1394"/>
      <c r="C736" s="1395"/>
      <c r="D736" s="1395"/>
      <c r="E736" s="1395"/>
      <c r="F736" s="1396"/>
      <c r="G736" s="1398"/>
      <c r="H736" s="1399"/>
      <c r="I736" s="1399"/>
      <c r="J736" s="1400"/>
      <c r="K736" s="1390"/>
      <c r="L736" s="1391"/>
      <c r="M736" s="1391"/>
      <c r="N736" s="1392"/>
      <c r="O736" s="1383"/>
      <c r="P736" s="1384"/>
      <c r="Q736" s="1384"/>
      <c r="R736" s="1384"/>
      <c r="S736" s="1385"/>
      <c r="T736" s="1383"/>
      <c r="U736" s="1384"/>
      <c r="V736" s="1384"/>
      <c r="W736" s="1385"/>
      <c r="X736" s="1401">
        <f t="shared" si="8"/>
        <v>0</v>
      </c>
      <c r="Y736" s="1402"/>
      <c r="Z736" s="1402"/>
      <c r="AA736" s="1402"/>
      <c r="AB736" s="1403"/>
      <c r="AC736" s="1421"/>
      <c r="AD736" s="1422"/>
      <c r="AE736" s="1422"/>
      <c r="AF736" s="1422"/>
      <c r="AG736" s="1423"/>
      <c r="AH736" s="1404" t="str">
        <f t="shared" si="36"/>
        <v/>
      </c>
      <c r="AI736" s="1405"/>
      <c r="AJ736" s="1406"/>
      <c r="AK736" s="1394" t="s">
        <v>591</v>
      </c>
      <c r="AL736" s="1395"/>
      <c r="AM736" s="1395"/>
      <c r="AN736" s="1395"/>
      <c r="AO736" s="1396"/>
      <c r="AP736" s="3"/>
      <c r="AQ736" s="3"/>
      <c r="AR736" s="3"/>
      <c r="AS736" s="3"/>
      <c r="AY736" s="1085"/>
      <c r="AZ736" s="118" t="str">
        <f t="shared" si="9"/>
        <v>N/A</v>
      </c>
      <c r="BA736" s="3"/>
      <c r="BB736" s="3"/>
      <c r="BC736" s="3"/>
      <c r="BD736" s="3"/>
      <c r="BE736" s="204"/>
      <c r="BF736" s="294">
        <f t="shared" si="10"/>
        <v>0</v>
      </c>
      <c r="BG736" s="297">
        <f t="shared" si="11"/>
        <v>0</v>
      </c>
      <c r="BH736" s="298" t="str">
        <f t="shared" si="12"/>
        <v/>
      </c>
      <c r="BI736" s="3"/>
      <c r="BJ736" s="3"/>
      <c r="BK736" s="3"/>
      <c r="BL736" s="3"/>
      <c r="BM736" s="3"/>
      <c r="BN736" s="3"/>
      <c r="BS736" s="294">
        <f t="shared" si="13"/>
        <v>0</v>
      </c>
      <c r="BT736" s="297">
        <f t="shared" si="14"/>
        <v>0</v>
      </c>
      <c r="BU736" s="298" t="str">
        <f t="shared" si="15"/>
        <v/>
      </c>
      <c r="BV736" s="3"/>
      <c r="BW736" s="3"/>
      <c r="BX736" s="3"/>
      <c r="BY736" s="3"/>
      <c r="BZ736" s="3"/>
      <c r="CA736" s="3"/>
      <c r="CB736" s="3"/>
      <c r="CC736" s="3"/>
      <c r="CE736" s="3"/>
      <c r="CF736" s="3"/>
      <c r="CG736" s="1523">
        <f t="shared" si="37"/>
        <v>0</v>
      </c>
      <c r="CH736" s="1525"/>
      <c r="CI736" s="1508">
        <f t="shared" si="38"/>
        <v>0</v>
      </c>
      <c r="CJ736" s="1509"/>
      <c r="CK736" s="1523">
        <f t="shared" si="16"/>
        <v>0</v>
      </c>
      <c r="CL736" s="1525"/>
      <c r="CM736" s="1508">
        <f t="shared" si="17"/>
        <v>0</v>
      </c>
      <c r="CN736" s="1509"/>
      <c r="CO736" s="3"/>
      <c r="CP736" s="1510">
        <f t="shared" si="18"/>
        <v>0</v>
      </c>
      <c r="CQ736" s="1511"/>
      <c r="CR736" s="1511"/>
      <c r="CS736" s="1511"/>
      <c r="CT736" s="1512"/>
      <c r="CU736" s="1498">
        <f t="shared" si="19"/>
        <v>0</v>
      </c>
      <c r="CV736" s="1498"/>
      <c r="CW736" s="1498"/>
      <c r="CX736" s="1498"/>
      <c r="CY736" s="1498"/>
      <c r="CZ736" s="1498">
        <f t="shared" si="20"/>
        <v>0</v>
      </c>
      <c r="DA736" s="1498"/>
      <c r="DB736" s="1498"/>
      <c r="DC736" s="1498"/>
      <c r="DD736" s="1498"/>
      <c r="DE736" s="1498">
        <f t="shared" si="21"/>
        <v>0</v>
      </c>
      <c r="DF736" s="1498"/>
      <c r="DG736" s="1498"/>
      <c r="DH736" s="1498"/>
      <c r="DI736" s="1498"/>
      <c r="DJ736" s="1498">
        <f t="shared" si="22"/>
        <v>0</v>
      </c>
      <c r="DK736" s="1498"/>
      <c r="DL736" s="1498"/>
      <c r="DM736" s="1498"/>
      <c r="DN736" s="1498"/>
      <c r="DO736" s="1498">
        <f t="shared" si="23"/>
        <v>0</v>
      </c>
      <c r="DP736" s="1498"/>
      <c r="DQ736" s="1498"/>
      <c r="DR736" s="1498"/>
      <c r="DS736" s="1498"/>
      <c r="DT736" s="6"/>
      <c r="DU736" s="1497">
        <f t="shared" si="24"/>
        <v>0</v>
      </c>
      <c r="DV736" s="1497"/>
      <c r="DW736" s="1497"/>
      <c r="DX736" s="1497"/>
      <c r="DY736" s="1497"/>
      <c r="DZ736" s="1497">
        <f t="shared" si="25"/>
        <v>0</v>
      </c>
      <c r="EA736" s="1497"/>
      <c r="EB736" s="1497"/>
      <c r="EC736" s="1497"/>
      <c r="ED736" s="1497"/>
      <c r="EE736" s="1497">
        <f t="shared" si="26"/>
        <v>0</v>
      </c>
      <c r="EF736" s="1497"/>
      <c r="EG736" s="1497"/>
      <c r="EH736" s="1497"/>
      <c r="EI736" s="1497"/>
      <c r="EJ736" s="1497">
        <f t="shared" si="27"/>
        <v>0</v>
      </c>
      <c r="EK736" s="1497"/>
      <c r="EL736" s="1497"/>
      <c r="EM736" s="1497"/>
      <c r="EN736" s="1497"/>
      <c r="EO736" s="1497">
        <f t="shared" si="28"/>
        <v>0</v>
      </c>
      <c r="EP736" s="1497"/>
      <c r="EQ736" s="1497"/>
      <c r="ER736" s="1497"/>
      <c r="ES736" s="1497"/>
      <c r="ET736" s="1497">
        <f t="shared" si="29"/>
        <v>0</v>
      </c>
      <c r="EU736" s="1497"/>
      <c r="EV736" s="1497"/>
      <c r="EW736" s="1497"/>
      <c r="EX736" s="1497"/>
      <c r="EZ736" s="1523" t="str">
        <f t="shared" si="30"/>
        <v/>
      </c>
      <c r="FA736" s="1524"/>
      <c r="FB736" s="1524"/>
      <c r="FC736" s="1524"/>
      <c r="FD736" s="1525"/>
      <c r="FE736" s="1523" t="str">
        <f t="shared" si="31"/>
        <v/>
      </c>
      <c r="FF736" s="1524"/>
      <c r="FG736" s="1524"/>
      <c r="FH736" s="1524"/>
      <c r="FI736" s="1525"/>
      <c r="FJ736" s="1523" t="str">
        <f t="shared" si="32"/>
        <v/>
      </c>
      <c r="FK736" s="1524"/>
      <c r="FL736" s="1524"/>
      <c r="FM736" s="1524"/>
      <c r="FN736" s="1525"/>
      <c r="FO736" s="1523" t="str">
        <f t="shared" si="33"/>
        <v/>
      </c>
      <c r="FP736" s="1524"/>
      <c r="FQ736" s="1524"/>
      <c r="FR736" s="1524"/>
      <c r="FS736" s="1525"/>
      <c r="FT736" s="1523" t="str">
        <f t="shared" si="34"/>
        <v/>
      </c>
      <c r="FU736" s="1524"/>
      <c r="FV736" s="1524"/>
      <c r="FW736" s="1524"/>
      <c r="FX736" s="1525"/>
      <c r="FY736" s="1523" t="str">
        <f t="shared" si="35"/>
        <v/>
      </c>
      <c r="FZ736" s="1524"/>
      <c r="GA736" s="1524"/>
      <c r="GB736" s="1524"/>
      <c r="GC736" s="1525"/>
    </row>
    <row r="737" spans="1:185" ht="12.95" customHeight="1">
      <c r="B737" s="1394"/>
      <c r="C737" s="1395"/>
      <c r="D737" s="1395"/>
      <c r="E737" s="1395"/>
      <c r="F737" s="1396"/>
      <c r="G737" s="1398"/>
      <c r="H737" s="1399"/>
      <c r="I737" s="1399"/>
      <c r="J737" s="1400"/>
      <c r="K737" s="1390"/>
      <c r="L737" s="1391"/>
      <c r="M737" s="1391"/>
      <c r="N737" s="1392"/>
      <c r="O737" s="1383"/>
      <c r="P737" s="1384"/>
      <c r="Q737" s="1384"/>
      <c r="R737" s="1384"/>
      <c r="S737" s="1385"/>
      <c r="T737" s="1383"/>
      <c r="U737" s="1384"/>
      <c r="V737" s="1384"/>
      <c r="W737" s="1385"/>
      <c r="X737" s="1401">
        <f t="shared" si="8"/>
        <v>0</v>
      </c>
      <c r="Y737" s="1402"/>
      <c r="Z737" s="1402"/>
      <c r="AA737" s="1402"/>
      <c r="AB737" s="1403"/>
      <c r="AC737" s="1421"/>
      <c r="AD737" s="1422"/>
      <c r="AE737" s="1422"/>
      <c r="AF737" s="1422"/>
      <c r="AG737" s="1423"/>
      <c r="AH737" s="1404" t="str">
        <f t="shared" si="36"/>
        <v/>
      </c>
      <c r="AI737" s="1405"/>
      <c r="AJ737" s="1406"/>
      <c r="AK737" s="1394" t="s">
        <v>591</v>
      </c>
      <c r="AL737" s="1395"/>
      <c r="AM737" s="1395"/>
      <c r="AN737" s="1395"/>
      <c r="AO737" s="1396"/>
      <c r="AP737" s="3"/>
      <c r="AQ737" s="3"/>
      <c r="AR737" s="3"/>
      <c r="AS737" s="3"/>
      <c r="AY737" s="1085"/>
      <c r="AZ737" s="118" t="str">
        <f t="shared" si="9"/>
        <v>N/A</v>
      </c>
      <c r="BA737" s="3"/>
      <c r="BB737" s="3"/>
      <c r="BC737" s="3"/>
      <c r="BD737" s="3"/>
      <c r="BE737" s="204"/>
      <c r="BF737" s="294">
        <f t="shared" si="10"/>
        <v>0</v>
      </c>
      <c r="BG737" s="297">
        <f t="shared" si="11"/>
        <v>0</v>
      </c>
      <c r="BH737" s="298" t="str">
        <f t="shared" si="12"/>
        <v/>
      </c>
      <c r="BI737" s="3"/>
      <c r="BJ737" s="3"/>
      <c r="BK737" s="3"/>
      <c r="BL737" s="3"/>
      <c r="BM737" s="3"/>
      <c r="BN737" s="3"/>
      <c r="BS737" s="294">
        <f t="shared" si="13"/>
        <v>0</v>
      </c>
      <c r="BT737" s="297">
        <f t="shared" si="14"/>
        <v>0</v>
      </c>
      <c r="BU737" s="298" t="str">
        <f t="shared" si="15"/>
        <v/>
      </c>
      <c r="BV737" s="3"/>
      <c r="BW737" s="3"/>
      <c r="BX737" s="3"/>
      <c r="BY737" s="3"/>
      <c r="BZ737" s="3"/>
      <c r="CA737" s="3"/>
      <c r="CB737" s="3"/>
      <c r="CC737" s="3"/>
      <c r="CE737" s="3"/>
      <c r="CF737" s="3"/>
      <c r="CG737" s="1523">
        <f t="shared" si="37"/>
        <v>0</v>
      </c>
      <c r="CH737" s="1525"/>
      <c r="CI737" s="1508">
        <f t="shared" si="38"/>
        <v>0</v>
      </c>
      <c r="CJ737" s="1509"/>
      <c r="CK737" s="1523">
        <f t="shared" si="16"/>
        <v>0</v>
      </c>
      <c r="CL737" s="1525"/>
      <c r="CM737" s="1508">
        <f t="shared" si="17"/>
        <v>0</v>
      </c>
      <c r="CN737" s="1509"/>
      <c r="CO737" s="3"/>
      <c r="CP737" s="1510">
        <f t="shared" si="18"/>
        <v>0</v>
      </c>
      <c r="CQ737" s="1511"/>
      <c r="CR737" s="1511"/>
      <c r="CS737" s="1511"/>
      <c r="CT737" s="1512"/>
      <c r="CU737" s="1498">
        <f t="shared" si="19"/>
        <v>0</v>
      </c>
      <c r="CV737" s="1498"/>
      <c r="CW737" s="1498"/>
      <c r="CX737" s="1498"/>
      <c r="CY737" s="1498"/>
      <c r="CZ737" s="1498">
        <f t="shared" si="20"/>
        <v>0</v>
      </c>
      <c r="DA737" s="1498"/>
      <c r="DB737" s="1498"/>
      <c r="DC737" s="1498"/>
      <c r="DD737" s="1498"/>
      <c r="DE737" s="1498">
        <f t="shared" si="21"/>
        <v>0</v>
      </c>
      <c r="DF737" s="1498"/>
      <c r="DG737" s="1498"/>
      <c r="DH737" s="1498"/>
      <c r="DI737" s="1498"/>
      <c r="DJ737" s="1498">
        <f t="shared" si="22"/>
        <v>0</v>
      </c>
      <c r="DK737" s="1498"/>
      <c r="DL737" s="1498"/>
      <c r="DM737" s="1498"/>
      <c r="DN737" s="1498"/>
      <c r="DO737" s="1498">
        <f t="shared" si="23"/>
        <v>0</v>
      </c>
      <c r="DP737" s="1498"/>
      <c r="DQ737" s="1498"/>
      <c r="DR737" s="1498"/>
      <c r="DS737" s="1498"/>
      <c r="DT737" s="6"/>
      <c r="DU737" s="1497">
        <f t="shared" si="24"/>
        <v>0</v>
      </c>
      <c r="DV737" s="1497"/>
      <c r="DW737" s="1497"/>
      <c r="DX737" s="1497"/>
      <c r="DY737" s="1497"/>
      <c r="DZ737" s="1497">
        <f t="shared" si="25"/>
        <v>0</v>
      </c>
      <c r="EA737" s="1497"/>
      <c r="EB737" s="1497"/>
      <c r="EC737" s="1497"/>
      <c r="ED737" s="1497"/>
      <c r="EE737" s="1497">
        <f t="shared" si="26"/>
        <v>0</v>
      </c>
      <c r="EF737" s="1497"/>
      <c r="EG737" s="1497"/>
      <c r="EH737" s="1497"/>
      <c r="EI737" s="1497"/>
      <c r="EJ737" s="1497">
        <f t="shared" si="27"/>
        <v>0</v>
      </c>
      <c r="EK737" s="1497"/>
      <c r="EL737" s="1497"/>
      <c r="EM737" s="1497"/>
      <c r="EN737" s="1497"/>
      <c r="EO737" s="1497">
        <f t="shared" si="28"/>
        <v>0</v>
      </c>
      <c r="EP737" s="1497"/>
      <c r="EQ737" s="1497"/>
      <c r="ER737" s="1497"/>
      <c r="ES737" s="1497"/>
      <c r="ET737" s="1497">
        <f t="shared" si="29"/>
        <v>0</v>
      </c>
      <c r="EU737" s="1497"/>
      <c r="EV737" s="1497"/>
      <c r="EW737" s="1497"/>
      <c r="EX737" s="1497"/>
      <c r="EZ737" s="1523" t="str">
        <f t="shared" si="30"/>
        <v/>
      </c>
      <c r="FA737" s="1524"/>
      <c r="FB737" s="1524"/>
      <c r="FC737" s="1524"/>
      <c r="FD737" s="1525"/>
      <c r="FE737" s="1523" t="str">
        <f t="shared" si="31"/>
        <v/>
      </c>
      <c r="FF737" s="1524"/>
      <c r="FG737" s="1524"/>
      <c r="FH737" s="1524"/>
      <c r="FI737" s="1525"/>
      <c r="FJ737" s="1523" t="str">
        <f t="shared" si="32"/>
        <v/>
      </c>
      <c r="FK737" s="1524"/>
      <c r="FL737" s="1524"/>
      <c r="FM737" s="1524"/>
      <c r="FN737" s="1525"/>
      <c r="FO737" s="1523" t="str">
        <f t="shared" si="33"/>
        <v/>
      </c>
      <c r="FP737" s="1524"/>
      <c r="FQ737" s="1524"/>
      <c r="FR737" s="1524"/>
      <c r="FS737" s="1525"/>
      <c r="FT737" s="1523" t="str">
        <f t="shared" si="34"/>
        <v/>
      </c>
      <c r="FU737" s="1524"/>
      <c r="FV737" s="1524"/>
      <c r="FW737" s="1524"/>
      <c r="FX737" s="1525"/>
      <c r="FY737" s="1523" t="str">
        <f t="shared" si="35"/>
        <v/>
      </c>
      <c r="FZ737" s="1524"/>
      <c r="GA737" s="1524"/>
      <c r="GB737" s="1524"/>
      <c r="GC737" s="1525"/>
    </row>
    <row r="738" spans="1:185" ht="12.95" customHeight="1">
      <c r="B738" s="1394"/>
      <c r="C738" s="1395"/>
      <c r="D738" s="1395"/>
      <c r="E738" s="1395"/>
      <c r="F738" s="1396"/>
      <c r="G738" s="1398"/>
      <c r="H738" s="1399"/>
      <c r="I738" s="1399"/>
      <c r="J738" s="1400"/>
      <c r="K738" s="1390"/>
      <c r="L738" s="1391"/>
      <c r="M738" s="1391"/>
      <c r="N738" s="1392"/>
      <c r="O738" s="1383"/>
      <c r="P738" s="1384"/>
      <c r="Q738" s="1384"/>
      <c r="R738" s="1384"/>
      <c r="S738" s="1385"/>
      <c r="T738" s="1383"/>
      <c r="U738" s="1384"/>
      <c r="V738" s="1384"/>
      <c r="W738" s="1385"/>
      <c r="X738" s="1401">
        <f t="shared" si="8"/>
        <v>0</v>
      </c>
      <c r="Y738" s="1402"/>
      <c r="Z738" s="1402"/>
      <c r="AA738" s="1402"/>
      <c r="AB738" s="1403"/>
      <c r="AC738" s="1421"/>
      <c r="AD738" s="1422"/>
      <c r="AE738" s="1422"/>
      <c r="AF738" s="1422"/>
      <c r="AG738" s="1423"/>
      <c r="AH738" s="1404" t="str">
        <f t="shared" si="36"/>
        <v/>
      </c>
      <c r="AI738" s="1405"/>
      <c r="AJ738" s="1406"/>
      <c r="AK738" s="1394" t="s">
        <v>591</v>
      </c>
      <c r="AL738" s="1395"/>
      <c r="AM738" s="1395"/>
      <c r="AN738" s="1395"/>
      <c r="AO738" s="1396"/>
      <c r="AP738" s="3"/>
      <c r="AQ738" s="3"/>
      <c r="AR738" s="3"/>
      <c r="AS738" s="3"/>
      <c r="AY738" s="1085"/>
      <c r="AZ738" s="118" t="str">
        <f t="shared" si="9"/>
        <v>N/A</v>
      </c>
      <c r="BA738" s="3"/>
      <c r="BE738" s="204"/>
      <c r="BF738" s="294">
        <f t="shared" si="10"/>
        <v>0</v>
      </c>
      <c r="BG738" s="297">
        <f t="shared" si="11"/>
        <v>0</v>
      </c>
      <c r="BH738" s="298" t="str">
        <f t="shared" si="12"/>
        <v/>
      </c>
      <c r="BK738" s="3"/>
      <c r="BL738" s="3"/>
      <c r="BM738" s="3"/>
      <c r="BN738" s="3"/>
      <c r="BS738" s="294">
        <f t="shared" si="13"/>
        <v>0</v>
      </c>
      <c r="BT738" s="297">
        <f t="shared" si="14"/>
        <v>0</v>
      </c>
      <c r="BU738" s="298" t="str">
        <f t="shared" si="15"/>
        <v/>
      </c>
      <c r="BV738" s="3"/>
      <c r="BW738" s="3"/>
      <c r="BX738" s="3"/>
      <c r="BY738" s="3"/>
      <c r="BZ738" s="3"/>
      <c r="CA738" s="3"/>
      <c r="CB738" s="3"/>
      <c r="CC738" s="3"/>
      <c r="CE738" s="3"/>
      <c r="CF738" s="3"/>
      <c r="CG738" s="1523">
        <f t="shared" si="37"/>
        <v>0</v>
      </c>
      <c r="CH738" s="1525"/>
      <c r="CI738" s="1508">
        <f t="shared" si="38"/>
        <v>0</v>
      </c>
      <c r="CJ738" s="1509"/>
      <c r="CK738" s="1523">
        <f t="shared" si="16"/>
        <v>0</v>
      </c>
      <c r="CL738" s="1525"/>
      <c r="CM738" s="1508">
        <f t="shared" si="17"/>
        <v>0</v>
      </c>
      <c r="CN738" s="1509"/>
      <c r="CO738" s="3"/>
      <c r="CP738" s="1510">
        <f t="shared" si="18"/>
        <v>0</v>
      </c>
      <c r="CQ738" s="1511"/>
      <c r="CR738" s="1511"/>
      <c r="CS738" s="1511"/>
      <c r="CT738" s="1512"/>
      <c r="CU738" s="1498">
        <f t="shared" si="19"/>
        <v>0</v>
      </c>
      <c r="CV738" s="1498"/>
      <c r="CW738" s="1498"/>
      <c r="CX738" s="1498"/>
      <c r="CY738" s="1498"/>
      <c r="CZ738" s="1498">
        <f t="shared" si="20"/>
        <v>0</v>
      </c>
      <c r="DA738" s="1498"/>
      <c r="DB738" s="1498"/>
      <c r="DC738" s="1498"/>
      <c r="DD738" s="1498"/>
      <c r="DE738" s="1498">
        <f t="shared" si="21"/>
        <v>0</v>
      </c>
      <c r="DF738" s="1498"/>
      <c r="DG738" s="1498"/>
      <c r="DH738" s="1498"/>
      <c r="DI738" s="1498"/>
      <c r="DJ738" s="1498">
        <f t="shared" si="22"/>
        <v>0</v>
      </c>
      <c r="DK738" s="1498"/>
      <c r="DL738" s="1498"/>
      <c r="DM738" s="1498"/>
      <c r="DN738" s="1498"/>
      <c r="DO738" s="1498">
        <f t="shared" si="23"/>
        <v>0</v>
      </c>
      <c r="DP738" s="1498"/>
      <c r="DQ738" s="1498"/>
      <c r="DR738" s="1498"/>
      <c r="DS738" s="1498"/>
      <c r="DT738" s="6"/>
      <c r="DU738" s="1497">
        <f t="shared" si="24"/>
        <v>0</v>
      </c>
      <c r="DV738" s="1497"/>
      <c r="DW738" s="1497"/>
      <c r="DX738" s="1497"/>
      <c r="DY738" s="1497"/>
      <c r="DZ738" s="1497">
        <f t="shared" si="25"/>
        <v>0</v>
      </c>
      <c r="EA738" s="1497"/>
      <c r="EB738" s="1497"/>
      <c r="EC738" s="1497"/>
      <c r="ED738" s="1497"/>
      <c r="EE738" s="1497">
        <f t="shared" si="26"/>
        <v>0</v>
      </c>
      <c r="EF738" s="1497"/>
      <c r="EG738" s="1497"/>
      <c r="EH738" s="1497"/>
      <c r="EI738" s="1497"/>
      <c r="EJ738" s="1497">
        <f t="shared" si="27"/>
        <v>0</v>
      </c>
      <c r="EK738" s="1497"/>
      <c r="EL738" s="1497"/>
      <c r="EM738" s="1497"/>
      <c r="EN738" s="1497"/>
      <c r="EO738" s="1497">
        <f t="shared" si="28"/>
        <v>0</v>
      </c>
      <c r="EP738" s="1497"/>
      <c r="EQ738" s="1497"/>
      <c r="ER738" s="1497"/>
      <c r="ES738" s="1497"/>
      <c r="ET738" s="1497">
        <f t="shared" si="29"/>
        <v>0</v>
      </c>
      <c r="EU738" s="1497"/>
      <c r="EV738" s="1497"/>
      <c r="EW738" s="1497"/>
      <c r="EX738" s="1497"/>
      <c r="EZ738" s="1523" t="str">
        <f t="shared" si="30"/>
        <v/>
      </c>
      <c r="FA738" s="1524"/>
      <c r="FB738" s="1524"/>
      <c r="FC738" s="1524"/>
      <c r="FD738" s="1525"/>
      <c r="FE738" s="1523" t="str">
        <f t="shared" si="31"/>
        <v/>
      </c>
      <c r="FF738" s="1524"/>
      <c r="FG738" s="1524"/>
      <c r="FH738" s="1524"/>
      <c r="FI738" s="1525"/>
      <c r="FJ738" s="1523" t="str">
        <f t="shared" si="32"/>
        <v/>
      </c>
      <c r="FK738" s="1524"/>
      <c r="FL738" s="1524"/>
      <c r="FM738" s="1524"/>
      <c r="FN738" s="1525"/>
      <c r="FO738" s="1523" t="str">
        <f t="shared" si="33"/>
        <v/>
      </c>
      <c r="FP738" s="1524"/>
      <c r="FQ738" s="1524"/>
      <c r="FR738" s="1524"/>
      <c r="FS738" s="1525"/>
      <c r="FT738" s="1523" t="str">
        <f t="shared" si="34"/>
        <v/>
      </c>
      <c r="FU738" s="1524"/>
      <c r="FV738" s="1524"/>
      <c r="FW738" s="1524"/>
      <c r="FX738" s="1525"/>
      <c r="FY738" s="1523" t="str">
        <f t="shared" si="35"/>
        <v/>
      </c>
      <c r="FZ738" s="1524"/>
      <c r="GA738" s="1524"/>
      <c r="GB738" s="1524"/>
      <c r="GC738" s="1525"/>
    </row>
    <row r="739" spans="1:185" ht="12.95" customHeight="1">
      <c r="B739" s="1394"/>
      <c r="C739" s="1395"/>
      <c r="D739" s="1395"/>
      <c r="E739" s="1395"/>
      <c r="F739" s="1396"/>
      <c r="G739" s="1398"/>
      <c r="H739" s="1399"/>
      <c r="I739" s="1399"/>
      <c r="J739" s="1400"/>
      <c r="K739" s="1390"/>
      <c r="L739" s="1391"/>
      <c r="M739" s="1391"/>
      <c r="N739" s="1392"/>
      <c r="O739" s="1383"/>
      <c r="P739" s="1384"/>
      <c r="Q739" s="1384"/>
      <c r="R739" s="1384"/>
      <c r="S739" s="1385"/>
      <c r="T739" s="1383"/>
      <c r="U739" s="1384"/>
      <c r="V739" s="1384"/>
      <c r="W739" s="1385"/>
      <c r="X739" s="1401">
        <f t="shared" si="8"/>
        <v>0</v>
      </c>
      <c r="Y739" s="1402"/>
      <c r="Z739" s="1402"/>
      <c r="AA739" s="1402"/>
      <c r="AB739" s="1403"/>
      <c r="AC739" s="1421"/>
      <c r="AD739" s="1422"/>
      <c r="AE739" s="1422"/>
      <c r="AF739" s="1422"/>
      <c r="AG739" s="1423"/>
      <c r="AH739" s="1404" t="str">
        <f t="shared" si="36"/>
        <v/>
      </c>
      <c r="AI739" s="1405"/>
      <c r="AJ739" s="1406"/>
      <c r="AK739" s="1394" t="s">
        <v>591</v>
      </c>
      <c r="AL739" s="1395"/>
      <c r="AM739" s="1395"/>
      <c r="AN739" s="1395"/>
      <c r="AO739" s="1396"/>
      <c r="AP739" s="3"/>
      <c r="AQ739" s="3"/>
      <c r="AR739" s="3"/>
      <c r="AS739" s="3"/>
      <c r="AY739" s="1085"/>
      <c r="AZ739" s="118" t="str">
        <f t="shared" si="9"/>
        <v>N/A</v>
      </c>
      <c r="BA739" s="3"/>
      <c r="BE739" s="204"/>
      <c r="BF739" s="294">
        <f t="shared" si="10"/>
        <v>0</v>
      </c>
      <c r="BG739" s="297">
        <f t="shared" si="11"/>
        <v>0</v>
      </c>
      <c r="BH739" s="298" t="str">
        <f t="shared" si="12"/>
        <v/>
      </c>
      <c r="BK739" s="3"/>
      <c r="BL739" s="3"/>
      <c r="BM739" s="3"/>
      <c r="BN739" s="3"/>
      <c r="BS739" s="294">
        <f t="shared" si="13"/>
        <v>0</v>
      </c>
      <c r="BT739" s="297">
        <f t="shared" si="14"/>
        <v>0</v>
      </c>
      <c r="BU739" s="298" t="str">
        <f t="shared" si="15"/>
        <v/>
      </c>
      <c r="BV739" s="3"/>
      <c r="BW739" s="3"/>
      <c r="BX739" s="3"/>
      <c r="BY739" s="3"/>
      <c r="BZ739" s="3"/>
      <c r="CA739" s="3"/>
      <c r="CB739" s="3"/>
      <c r="CC739" s="3"/>
      <c r="CE739" s="3"/>
      <c r="CF739" s="3"/>
      <c r="CG739" s="1523">
        <f t="shared" si="37"/>
        <v>0</v>
      </c>
      <c r="CH739" s="1525"/>
      <c r="CI739" s="1508">
        <f t="shared" si="38"/>
        <v>0</v>
      </c>
      <c r="CJ739" s="1509"/>
      <c r="CK739" s="1523">
        <f t="shared" si="16"/>
        <v>0</v>
      </c>
      <c r="CL739" s="1525"/>
      <c r="CM739" s="1508">
        <f t="shared" si="17"/>
        <v>0</v>
      </c>
      <c r="CN739" s="1509"/>
      <c r="CO739" s="3"/>
      <c r="CP739" s="1510">
        <f t="shared" si="18"/>
        <v>0</v>
      </c>
      <c r="CQ739" s="1511"/>
      <c r="CR739" s="1511"/>
      <c r="CS739" s="1511"/>
      <c r="CT739" s="1512"/>
      <c r="CU739" s="1498">
        <f t="shared" si="19"/>
        <v>0</v>
      </c>
      <c r="CV739" s="1498"/>
      <c r="CW739" s="1498"/>
      <c r="CX739" s="1498"/>
      <c r="CY739" s="1498"/>
      <c r="CZ739" s="1498">
        <f t="shared" si="20"/>
        <v>0</v>
      </c>
      <c r="DA739" s="1498"/>
      <c r="DB739" s="1498"/>
      <c r="DC739" s="1498"/>
      <c r="DD739" s="1498"/>
      <c r="DE739" s="1498">
        <f t="shared" si="21"/>
        <v>0</v>
      </c>
      <c r="DF739" s="1498"/>
      <c r="DG739" s="1498"/>
      <c r="DH739" s="1498"/>
      <c r="DI739" s="1498"/>
      <c r="DJ739" s="1498">
        <f t="shared" si="22"/>
        <v>0</v>
      </c>
      <c r="DK739" s="1498"/>
      <c r="DL739" s="1498"/>
      <c r="DM739" s="1498"/>
      <c r="DN739" s="1498"/>
      <c r="DO739" s="1498">
        <f t="shared" si="23"/>
        <v>0</v>
      </c>
      <c r="DP739" s="1498"/>
      <c r="DQ739" s="1498"/>
      <c r="DR739" s="1498"/>
      <c r="DS739" s="1498"/>
      <c r="DT739" s="6"/>
      <c r="DU739" s="1497">
        <f t="shared" si="24"/>
        <v>0</v>
      </c>
      <c r="DV739" s="1497"/>
      <c r="DW739" s="1497"/>
      <c r="DX739" s="1497"/>
      <c r="DY739" s="1497"/>
      <c r="DZ739" s="1497">
        <f t="shared" si="25"/>
        <v>0</v>
      </c>
      <c r="EA739" s="1497"/>
      <c r="EB739" s="1497"/>
      <c r="EC739" s="1497"/>
      <c r="ED739" s="1497"/>
      <c r="EE739" s="1497">
        <f t="shared" si="26"/>
        <v>0</v>
      </c>
      <c r="EF739" s="1497"/>
      <c r="EG739" s="1497"/>
      <c r="EH739" s="1497"/>
      <c r="EI739" s="1497"/>
      <c r="EJ739" s="1497">
        <f t="shared" si="27"/>
        <v>0</v>
      </c>
      <c r="EK739" s="1497"/>
      <c r="EL739" s="1497"/>
      <c r="EM739" s="1497"/>
      <c r="EN739" s="1497"/>
      <c r="EO739" s="1497">
        <f t="shared" si="28"/>
        <v>0</v>
      </c>
      <c r="EP739" s="1497"/>
      <c r="EQ739" s="1497"/>
      <c r="ER739" s="1497"/>
      <c r="ES739" s="1497"/>
      <c r="ET739" s="1497">
        <f t="shared" si="29"/>
        <v>0</v>
      </c>
      <c r="EU739" s="1497"/>
      <c r="EV739" s="1497"/>
      <c r="EW739" s="1497"/>
      <c r="EX739" s="1497"/>
      <c r="EZ739" s="1523" t="str">
        <f t="shared" si="30"/>
        <v/>
      </c>
      <c r="FA739" s="1524"/>
      <c r="FB739" s="1524"/>
      <c r="FC739" s="1524"/>
      <c r="FD739" s="1525"/>
      <c r="FE739" s="1523" t="str">
        <f t="shared" si="31"/>
        <v/>
      </c>
      <c r="FF739" s="1524"/>
      <c r="FG739" s="1524"/>
      <c r="FH739" s="1524"/>
      <c r="FI739" s="1525"/>
      <c r="FJ739" s="1523" t="str">
        <f t="shared" si="32"/>
        <v/>
      </c>
      <c r="FK739" s="1524"/>
      <c r="FL739" s="1524"/>
      <c r="FM739" s="1524"/>
      <c r="FN739" s="1525"/>
      <c r="FO739" s="1523" t="str">
        <f t="shared" si="33"/>
        <v/>
      </c>
      <c r="FP739" s="1524"/>
      <c r="FQ739" s="1524"/>
      <c r="FR739" s="1524"/>
      <c r="FS739" s="1525"/>
      <c r="FT739" s="1523" t="str">
        <f t="shared" si="34"/>
        <v/>
      </c>
      <c r="FU739" s="1524"/>
      <c r="FV739" s="1524"/>
      <c r="FW739" s="1524"/>
      <c r="FX739" s="1525"/>
      <c r="FY739" s="1523" t="str">
        <f t="shared" si="35"/>
        <v/>
      </c>
      <c r="FZ739" s="1524"/>
      <c r="GA739" s="1524"/>
      <c r="GB739" s="1524"/>
      <c r="GC739" s="1525"/>
    </row>
    <row r="740" spans="1:185" ht="12.95" customHeight="1">
      <c r="B740" s="1394"/>
      <c r="C740" s="1395"/>
      <c r="D740" s="1395"/>
      <c r="E740" s="1395"/>
      <c r="F740" s="1396"/>
      <c r="G740" s="1398"/>
      <c r="H740" s="1399"/>
      <c r="I740" s="1399"/>
      <c r="J740" s="1400"/>
      <c r="K740" s="1390"/>
      <c r="L740" s="1391"/>
      <c r="M740" s="1391"/>
      <c r="N740" s="1392"/>
      <c r="O740" s="1383"/>
      <c r="P740" s="1384"/>
      <c r="Q740" s="1384"/>
      <c r="R740" s="1384"/>
      <c r="S740" s="1385"/>
      <c r="T740" s="1383"/>
      <c r="U740" s="1384"/>
      <c r="V740" s="1384"/>
      <c r="W740" s="1385"/>
      <c r="X740" s="1401">
        <f t="shared" si="8"/>
        <v>0</v>
      </c>
      <c r="Y740" s="1402"/>
      <c r="Z740" s="1402"/>
      <c r="AA740" s="1402"/>
      <c r="AB740" s="1403"/>
      <c r="AC740" s="1421"/>
      <c r="AD740" s="1422"/>
      <c r="AE740" s="1422"/>
      <c r="AF740" s="1422"/>
      <c r="AG740" s="1423"/>
      <c r="AH740" s="1404" t="str">
        <f t="shared" si="36"/>
        <v/>
      </c>
      <c r="AI740" s="1405"/>
      <c r="AJ740" s="1406"/>
      <c r="AK740" s="1394" t="s">
        <v>591</v>
      </c>
      <c r="AL740" s="1395"/>
      <c r="AM740" s="1395"/>
      <c r="AN740" s="1395"/>
      <c r="AO740" s="1396"/>
      <c r="AP740" s="3"/>
      <c r="AQ740" s="3"/>
      <c r="AR740" s="3"/>
      <c r="AS740" s="3"/>
      <c r="AY740" s="1085"/>
      <c r="AZ740" s="118" t="str">
        <f t="shared" si="9"/>
        <v>N/A</v>
      </c>
      <c r="BA740" s="3"/>
      <c r="BE740" s="204"/>
      <c r="BF740" s="294">
        <f t="shared" si="10"/>
        <v>0</v>
      </c>
      <c r="BG740" s="297">
        <f t="shared" si="11"/>
        <v>0</v>
      </c>
      <c r="BH740" s="298" t="str">
        <f t="shared" si="12"/>
        <v/>
      </c>
      <c r="BK740" s="3"/>
      <c r="BL740" s="3"/>
      <c r="BM740" s="3"/>
      <c r="BN740" s="3"/>
      <c r="BS740" s="294">
        <f t="shared" si="13"/>
        <v>0</v>
      </c>
      <c r="BT740" s="297">
        <f t="shared" si="14"/>
        <v>0</v>
      </c>
      <c r="BU740" s="298" t="str">
        <f t="shared" si="15"/>
        <v/>
      </c>
      <c r="BV740" s="3"/>
      <c r="BW740" s="3"/>
      <c r="BX740" s="3"/>
      <c r="BY740" s="3"/>
      <c r="BZ740" s="3"/>
      <c r="CA740" s="3"/>
      <c r="CB740" s="3"/>
      <c r="CC740" s="3"/>
      <c r="CE740" s="3"/>
      <c r="CF740" s="3"/>
      <c r="CG740" s="1523">
        <f t="shared" si="37"/>
        <v>0</v>
      </c>
      <c r="CH740" s="1525"/>
      <c r="CI740" s="1508">
        <f t="shared" si="38"/>
        <v>0</v>
      </c>
      <c r="CJ740" s="1509"/>
      <c r="CK740" s="1523">
        <f t="shared" si="16"/>
        <v>0</v>
      </c>
      <c r="CL740" s="1525"/>
      <c r="CM740" s="1508">
        <f t="shared" si="17"/>
        <v>0</v>
      </c>
      <c r="CN740" s="1509"/>
      <c r="CO740" s="3"/>
      <c r="CP740" s="1510">
        <f t="shared" si="18"/>
        <v>0</v>
      </c>
      <c r="CQ740" s="1511"/>
      <c r="CR740" s="1511"/>
      <c r="CS740" s="1511"/>
      <c r="CT740" s="1512"/>
      <c r="CU740" s="1498">
        <f t="shared" si="19"/>
        <v>0</v>
      </c>
      <c r="CV740" s="1498"/>
      <c r="CW740" s="1498"/>
      <c r="CX740" s="1498"/>
      <c r="CY740" s="1498"/>
      <c r="CZ740" s="1498">
        <f t="shared" si="20"/>
        <v>0</v>
      </c>
      <c r="DA740" s="1498"/>
      <c r="DB740" s="1498"/>
      <c r="DC740" s="1498"/>
      <c r="DD740" s="1498"/>
      <c r="DE740" s="1498">
        <f t="shared" si="21"/>
        <v>0</v>
      </c>
      <c r="DF740" s="1498"/>
      <c r="DG740" s="1498"/>
      <c r="DH740" s="1498"/>
      <c r="DI740" s="1498"/>
      <c r="DJ740" s="1498">
        <f t="shared" si="22"/>
        <v>0</v>
      </c>
      <c r="DK740" s="1498"/>
      <c r="DL740" s="1498"/>
      <c r="DM740" s="1498"/>
      <c r="DN740" s="1498"/>
      <c r="DO740" s="1498">
        <f t="shared" si="23"/>
        <v>0</v>
      </c>
      <c r="DP740" s="1498"/>
      <c r="DQ740" s="1498"/>
      <c r="DR740" s="1498"/>
      <c r="DS740" s="1498"/>
      <c r="DT740" s="6"/>
      <c r="DU740" s="1497">
        <f t="shared" si="24"/>
        <v>0</v>
      </c>
      <c r="DV740" s="1497"/>
      <c r="DW740" s="1497"/>
      <c r="DX740" s="1497"/>
      <c r="DY740" s="1497"/>
      <c r="DZ740" s="1497">
        <f t="shared" si="25"/>
        <v>0</v>
      </c>
      <c r="EA740" s="1497"/>
      <c r="EB740" s="1497"/>
      <c r="EC740" s="1497"/>
      <c r="ED740" s="1497"/>
      <c r="EE740" s="1497">
        <f t="shared" si="26"/>
        <v>0</v>
      </c>
      <c r="EF740" s="1497"/>
      <c r="EG740" s="1497"/>
      <c r="EH740" s="1497"/>
      <c r="EI740" s="1497"/>
      <c r="EJ740" s="1497">
        <f t="shared" si="27"/>
        <v>0</v>
      </c>
      <c r="EK740" s="1497"/>
      <c r="EL740" s="1497"/>
      <c r="EM740" s="1497"/>
      <c r="EN740" s="1497"/>
      <c r="EO740" s="1497">
        <f t="shared" si="28"/>
        <v>0</v>
      </c>
      <c r="EP740" s="1497"/>
      <c r="EQ740" s="1497"/>
      <c r="ER740" s="1497"/>
      <c r="ES740" s="1497"/>
      <c r="ET740" s="1497">
        <f t="shared" si="29"/>
        <v>0</v>
      </c>
      <c r="EU740" s="1497"/>
      <c r="EV740" s="1497"/>
      <c r="EW740" s="1497"/>
      <c r="EX740" s="1497"/>
      <c r="EZ740" s="1523" t="str">
        <f t="shared" si="30"/>
        <v/>
      </c>
      <c r="FA740" s="1524"/>
      <c r="FB740" s="1524"/>
      <c r="FC740" s="1524"/>
      <c r="FD740" s="1525"/>
      <c r="FE740" s="1523" t="str">
        <f t="shared" si="31"/>
        <v/>
      </c>
      <c r="FF740" s="1524"/>
      <c r="FG740" s="1524"/>
      <c r="FH740" s="1524"/>
      <c r="FI740" s="1525"/>
      <c r="FJ740" s="1523" t="str">
        <f t="shared" si="32"/>
        <v/>
      </c>
      <c r="FK740" s="1524"/>
      <c r="FL740" s="1524"/>
      <c r="FM740" s="1524"/>
      <c r="FN740" s="1525"/>
      <c r="FO740" s="1523" t="str">
        <f t="shared" si="33"/>
        <v/>
      </c>
      <c r="FP740" s="1524"/>
      <c r="FQ740" s="1524"/>
      <c r="FR740" s="1524"/>
      <c r="FS740" s="1525"/>
      <c r="FT740" s="1523" t="str">
        <f t="shared" si="34"/>
        <v/>
      </c>
      <c r="FU740" s="1524"/>
      <c r="FV740" s="1524"/>
      <c r="FW740" s="1524"/>
      <c r="FX740" s="1525"/>
      <c r="FY740" s="1523" t="str">
        <f t="shared" si="35"/>
        <v/>
      </c>
      <c r="FZ740" s="1524"/>
      <c r="GA740" s="1524"/>
      <c r="GB740" s="1524"/>
      <c r="GC740" s="1525"/>
    </row>
    <row r="741" spans="1:185" ht="12.95" customHeight="1">
      <c r="B741" s="1394"/>
      <c r="C741" s="1395"/>
      <c r="D741" s="1395"/>
      <c r="E741" s="1395"/>
      <c r="F741" s="1396"/>
      <c r="G741" s="1398"/>
      <c r="H741" s="1399"/>
      <c r="I741" s="1399"/>
      <c r="J741" s="1400"/>
      <c r="K741" s="1390"/>
      <c r="L741" s="1391"/>
      <c r="M741" s="1391"/>
      <c r="N741" s="1392"/>
      <c r="O741" s="1383"/>
      <c r="P741" s="1384"/>
      <c r="Q741" s="1384"/>
      <c r="R741" s="1384"/>
      <c r="S741" s="1385"/>
      <c r="T741" s="1383"/>
      <c r="U741" s="1384"/>
      <c r="V741" s="1384"/>
      <c r="W741" s="1385"/>
      <c r="X741" s="1401">
        <f t="shared" si="8"/>
        <v>0</v>
      </c>
      <c r="Y741" s="1402"/>
      <c r="Z741" s="1402"/>
      <c r="AA741" s="1402"/>
      <c r="AB741" s="1403"/>
      <c r="AC741" s="1421"/>
      <c r="AD741" s="1422"/>
      <c r="AE741" s="1422"/>
      <c r="AF741" s="1422"/>
      <c r="AG741" s="1423"/>
      <c r="AH741" s="1404" t="str">
        <f t="shared" si="36"/>
        <v/>
      </c>
      <c r="AI741" s="1405"/>
      <c r="AJ741" s="1406"/>
      <c r="AK741" s="1394" t="s">
        <v>591</v>
      </c>
      <c r="AL741" s="1395"/>
      <c r="AM741" s="1395"/>
      <c r="AN741" s="1395"/>
      <c r="AO741" s="1396"/>
      <c r="AP741" s="3"/>
      <c r="AQ741" s="3"/>
      <c r="AR741" s="3"/>
      <c r="AS741" s="3"/>
      <c r="AY741" s="1085"/>
      <c r="AZ741" s="118" t="str">
        <f t="shared" si="9"/>
        <v>N/A</v>
      </c>
      <c r="BA741" s="3"/>
      <c r="BE741" s="204"/>
      <c r="BF741" s="294">
        <f t="shared" si="10"/>
        <v>0</v>
      </c>
      <c r="BG741" s="297">
        <f t="shared" si="11"/>
        <v>0</v>
      </c>
      <c r="BH741" s="298" t="str">
        <f t="shared" si="12"/>
        <v/>
      </c>
      <c r="BK741" s="3"/>
      <c r="BL741" s="3"/>
      <c r="BM741" s="3"/>
      <c r="BN741" s="3"/>
      <c r="BS741" s="294">
        <f t="shared" si="13"/>
        <v>0</v>
      </c>
      <c r="BT741" s="297">
        <f t="shared" si="14"/>
        <v>0</v>
      </c>
      <c r="BU741" s="298" t="str">
        <f t="shared" si="15"/>
        <v/>
      </c>
      <c r="BV741" s="3"/>
      <c r="BW741" s="3"/>
      <c r="BX741" s="3"/>
      <c r="BY741" s="3"/>
      <c r="BZ741" s="3"/>
      <c r="CA741" s="3"/>
      <c r="CB741" s="3"/>
      <c r="CC741" s="3"/>
      <c r="CE741" s="3"/>
      <c r="CF741" s="3"/>
      <c r="CG741" s="1523">
        <f t="shared" si="37"/>
        <v>0</v>
      </c>
      <c r="CH741" s="1525"/>
      <c r="CI741" s="1508">
        <f t="shared" si="38"/>
        <v>0</v>
      </c>
      <c r="CJ741" s="1509"/>
      <c r="CK741" s="1523">
        <f t="shared" si="16"/>
        <v>0</v>
      </c>
      <c r="CL741" s="1525"/>
      <c r="CM741" s="1508">
        <f t="shared" si="17"/>
        <v>0</v>
      </c>
      <c r="CN741" s="1509"/>
      <c r="CO741" s="3"/>
      <c r="CP741" s="1510">
        <f t="shared" si="18"/>
        <v>0</v>
      </c>
      <c r="CQ741" s="1511"/>
      <c r="CR741" s="1511"/>
      <c r="CS741" s="1511"/>
      <c r="CT741" s="1512"/>
      <c r="CU741" s="1498">
        <f t="shared" si="19"/>
        <v>0</v>
      </c>
      <c r="CV741" s="1498"/>
      <c r="CW741" s="1498"/>
      <c r="CX741" s="1498"/>
      <c r="CY741" s="1498"/>
      <c r="CZ741" s="1498">
        <f t="shared" si="20"/>
        <v>0</v>
      </c>
      <c r="DA741" s="1498"/>
      <c r="DB741" s="1498"/>
      <c r="DC741" s="1498"/>
      <c r="DD741" s="1498"/>
      <c r="DE741" s="1498">
        <f t="shared" si="21"/>
        <v>0</v>
      </c>
      <c r="DF741" s="1498"/>
      <c r="DG741" s="1498"/>
      <c r="DH741" s="1498"/>
      <c r="DI741" s="1498"/>
      <c r="DJ741" s="1498">
        <f t="shared" si="22"/>
        <v>0</v>
      </c>
      <c r="DK741" s="1498"/>
      <c r="DL741" s="1498"/>
      <c r="DM741" s="1498"/>
      <c r="DN741" s="1498"/>
      <c r="DO741" s="1498">
        <f t="shared" si="23"/>
        <v>0</v>
      </c>
      <c r="DP741" s="1498"/>
      <c r="DQ741" s="1498"/>
      <c r="DR741" s="1498"/>
      <c r="DS741" s="1498"/>
      <c r="DT741" s="6"/>
      <c r="DU741" s="1497">
        <f t="shared" si="24"/>
        <v>0</v>
      </c>
      <c r="DV741" s="1497"/>
      <c r="DW741" s="1497"/>
      <c r="DX741" s="1497"/>
      <c r="DY741" s="1497"/>
      <c r="DZ741" s="1497">
        <f t="shared" si="25"/>
        <v>0</v>
      </c>
      <c r="EA741" s="1497"/>
      <c r="EB741" s="1497"/>
      <c r="EC741" s="1497"/>
      <c r="ED741" s="1497"/>
      <c r="EE741" s="1497">
        <f t="shared" si="26"/>
        <v>0</v>
      </c>
      <c r="EF741" s="1497"/>
      <c r="EG741" s="1497"/>
      <c r="EH741" s="1497"/>
      <c r="EI741" s="1497"/>
      <c r="EJ741" s="1497">
        <f t="shared" si="27"/>
        <v>0</v>
      </c>
      <c r="EK741" s="1497"/>
      <c r="EL741" s="1497"/>
      <c r="EM741" s="1497"/>
      <c r="EN741" s="1497"/>
      <c r="EO741" s="1497">
        <f t="shared" si="28"/>
        <v>0</v>
      </c>
      <c r="EP741" s="1497"/>
      <c r="EQ741" s="1497"/>
      <c r="ER741" s="1497"/>
      <c r="ES741" s="1497"/>
      <c r="ET741" s="1497">
        <f t="shared" si="29"/>
        <v>0</v>
      </c>
      <c r="EU741" s="1497"/>
      <c r="EV741" s="1497"/>
      <c r="EW741" s="1497"/>
      <c r="EX741" s="1497"/>
      <c r="EZ741" s="1523" t="str">
        <f t="shared" si="30"/>
        <v/>
      </c>
      <c r="FA741" s="1524"/>
      <c r="FB741" s="1524"/>
      <c r="FC741" s="1524"/>
      <c r="FD741" s="1525"/>
      <c r="FE741" s="1523" t="str">
        <f t="shared" si="31"/>
        <v/>
      </c>
      <c r="FF741" s="1524"/>
      <c r="FG741" s="1524"/>
      <c r="FH741" s="1524"/>
      <c r="FI741" s="1525"/>
      <c r="FJ741" s="1523" t="str">
        <f t="shared" si="32"/>
        <v/>
      </c>
      <c r="FK741" s="1524"/>
      <c r="FL741" s="1524"/>
      <c r="FM741" s="1524"/>
      <c r="FN741" s="1525"/>
      <c r="FO741" s="1523" t="str">
        <f t="shared" si="33"/>
        <v/>
      </c>
      <c r="FP741" s="1524"/>
      <c r="FQ741" s="1524"/>
      <c r="FR741" s="1524"/>
      <c r="FS741" s="1525"/>
      <c r="FT741" s="1523" t="str">
        <f t="shared" si="34"/>
        <v/>
      </c>
      <c r="FU741" s="1524"/>
      <c r="FV741" s="1524"/>
      <c r="FW741" s="1524"/>
      <c r="FX741" s="1525"/>
      <c r="FY741" s="1523" t="str">
        <f t="shared" si="35"/>
        <v/>
      </c>
      <c r="FZ741" s="1524"/>
      <c r="GA741" s="1524"/>
      <c r="GB741" s="1524"/>
      <c r="GC741" s="1525"/>
    </row>
    <row r="742" spans="1:185" ht="12.95" customHeight="1">
      <c r="B742" s="1394"/>
      <c r="C742" s="1395"/>
      <c r="D742" s="1395"/>
      <c r="E742" s="1395"/>
      <c r="F742" s="1396"/>
      <c r="G742" s="1398"/>
      <c r="H742" s="1399"/>
      <c r="I742" s="1399"/>
      <c r="J742" s="1400"/>
      <c r="K742" s="1390"/>
      <c r="L742" s="1391"/>
      <c r="M742" s="1391"/>
      <c r="N742" s="1392"/>
      <c r="O742" s="1383"/>
      <c r="P742" s="1384"/>
      <c r="Q742" s="1384"/>
      <c r="R742" s="1384"/>
      <c r="S742" s="1385"/>
      <c r="T742" s="1383"/>
      <c r="U742" s="1384"/>
      <c r="V742" s="1384"/>
      <c r="W742" s="1385"/>
      <c r="X742" s="1401">
        <f t="shared" ref="X742:X751" si="39">O742+T742</f>
        <v>0</v>
      </c>
      <c r="Y742" s="1402"/>
      <c r="Z742" s="1402"/>
      <c r="AA742" s="1402"/>
      <c r="AB742" s="1403"/>
      <c r="AC742" s="1421"/>
      <c r="AD742" s="1422"/>
      <c r="AE742" s="1422"/>
      <c r="AF742" s="1422"/>
      <c r="AG742" s="1423"/>
      <c r="AH742" s="1404" t="str">
        <f t="shared" si="36"/>
        <v/>
      </c>
      <c r="AI742" s="1405"/>
      <c r="AJ742" s="1406"/>
      <c r="AK742" s="1394" t="s">
        <v>591</v>
      </c>
      <c r="AL742" s="1395"/>
      <c r="AM742" s="1395"/>
      <c r="AN742" s="1395"/>
      <c r="AO742" s="1396"/>
      <c r="AP742" s="3"/>
      <c r="AQ742" s="3"/>
      <c r="AR742" s="3"/>
      <c r="AS742" s="3"/>
      <c r="AY742" s="1085"/>
      <c r="AZ742" s="118" t="str">
        <f t="shared" si="9"/>
        <v>N/A</v>
      </c>
      <c r="BA742" s="3"/>
      <c r="BB742" s="3"/>
      <c r="BE742" s="204"/>
      <c r="BF742" s="294">
        <f t="shared" si="10"/>
        <v>0</v>
      </c>
      <c r="BG742" s="297">
        <f t="shared" si="11"/>
        <v>0</v>
      </c>
      <c r="BH742" s="298" t="str">
        <f t="shared" si="12"/>
        <v/>
      </c>
      <c r="BL742" s="3"/>
      <c r="BM742" s="3"/>
      <c r="BN742" s="3"/>
      <c r="BS742" s="294">
        <f t="shared" si="13"/>
        <v>0</v>
      </c>
      <c r="BT742" s="297">
        <f t="shared" si="14"/>
        <v>0</v>
      </c>
      <c r="BU742" s="298" t="str">
        <f t="shared" si="15"/>
        <v/>
      </c>
      <c r="BV742" s="3"/>
      <c r="BW742" s="3"/>
      <c r="BX742" s="3"/>
      <c r="BY742" s="3"/>
      <c r="BZ742" s="3"/>
      <c r="CA742" s="3"/>
      <c r="CB742" s="3"/>
      <c r="CC742" s="3"/>
      <c r="CE742" s="3"/>
      <c r="CF742" s="3"/>
      <c r="CG742" s="1523">
        <f t="shared" si="37"/>
        <v>0</v>
      </c>
      <c r="CH742" s="1525"/>
      <c r="CI742" s="1508">
        <f t="shared" si="38"/>
        <v>0</v>
      </c>
      <c r="CJ742" s="1509"/>
      <c r="CK742" s="1523">
        <f t="shared" si="16"/>
        <v>0</v>
      </c>
      <c r="CL742" s="1525"/>
      <c r="CM742" s="1508">
        <f t="shared" si="17"/>
        <v>0</v>
      </c>
      <c r="CN742" s="1509"/>
      <c r="CO742" s="3"/>
      <c r="CP742" s="1510">
        <f t="shared" si="18"/>
        <v>0</v>
      </c>
      <c r="CQ742" s="1511"/>
      <c r="CR742" s="1511"/>
      <c r="CS742" s="1511"/>
      <c r="CT742" s="1512"/>
      <c r="CU742" s="1498">
        <f t="shared" si="19"/>
        <v>0</v>
      </c>
      <c r="CV742" s="1498"/>
      <c r="CW742" s="1498"/>
      <c r="CX742" s="1498"/>
      <c r="CY742" s="1498"/>
      <c r="CZ742" s="1498">
        <f t="shared" si="20"/>
        <v>0</v>
      </c>
      <c r="DA742" s="1498"/>
      <c r="DB742" s="1498"/>
      <c r="DC742" s="1498"/>
      <c r="DD742" s="1498"/>
      <c r="DE742" s="1498">
        <f t="shared" si="21"/>
        <v>0</v>
      </c>
      <c r="DF742" s="1498"/>
      <c r="DG742" s="1498"/>
      <c r="DH742" s="1498"/>
      <c r="DI742" s="1498"/>
      <c r="DJ742" s="1498">
        <f t="shared" si="22"/>
        <v>0</v>
      </c>
      <c r="DK742" s="1498"/>
      <c r="DL742" s="1498"/>
      <c r="DM742" s="1498"/>
      <c r="DN742" s="1498"/>
      <c r="DO742" s="1498">
        <f t="shared" si="23"/>
        <v>0</v>
      </c>
      <c r="DP742" s="1498"/>
      <c r="DQ742" s="1498"/>
      <c r="DR742" s="1498"/>
      <c r="DS742" s="1498"/>
      <c r="DT742" s="6"/>
      <c r="DU742" s="1497">
        <f t="shared" si="24"/>
        <v>0</v>
      </c>
      <c r="DV742" s="1497"/>
      <c r="DW742" s="1497"/>
      <c r="DX742" s="1497"/>
      <c r="DY742" s="1497"/>
      <c r="DZ742" s="1497">
        <f t="shared" si="25"/>
        <v>0</v>
      </c>
      <c r="EA742" s="1497"/>
      <c r="EB742" s="1497"/>
      <c r="EC742" s="1497"/>
      <c r="ED742" s="1497"/>
      <c r="EE742" s="1497">
        <f t="shared" si="26"/>
        <v>0</v>
      </c>
      <c r="EF742" s="1497"/>
      <c r="EG742" s="1497"/>
      <c r="EH742" s="1497"/>
      <c r="EI742" s="1497"/>
      <c r="EJ742" s="1497">
        <f t="shared" si="27"/>
        <v>0</v>
      </c>
      <c r="EK742" s="1497"/>
      <c r="EL742" s="1497"/>
      <c r="EM742" s="1497"/>
      <c r="EN742" s="1497"/>
      <c r="EO742" s="1497">
        <f t="shared" si="28"/>
        <v>0</v>
      </c>
      <c r="EP742" s="1497"/>
      <c r="EQ742" s="1497"/>
      <c r="ER742" s="1497"/>
      <c r="ES742" s="1497"/>
      <c r="ET742" s="1497">
        <f t="shared" si="29"/>
        <v>0</v>
      </c>
      <c r="EU742" s="1497"/>
      <c r="EV742" s="1497"/>
      <c r="EW742" s="1497"/>
      <c r="EX742" s="1497"/>
      <c r="EZ742" s="1523" t="str">
        <f t="shared" si="30"/>
        <v/>
      </c>
      <c r="FA742" s="1524"/>
      <c r="FB742" s="1524"/>
      <c r="FC742" s="1524"/>
      <c r="FD742" s="1525"/>
      <c r="FE742" s="1523" t="str">
        <f t="shared" si="31"/>
        <v/>
      </c>
      <c r="FF742" s="1524"/>
      <c r="FG742" s="1524"/>
      <c r="FH742" s="1524"/>
      <c r="FI742" s="1525"/>
      <c r="FJ742" s="1523" t="str">
        <f t="shared" si="32"/>
        <v/>
      </c>
      <c r="FK742" s="1524"/>
      <c r="FL742" s="1524"/>
      <c r="FM742" s="1524"/>
      <c r="FN742" s="1525"/>
      <c r="FO742" s="1523" t="str">
        <f t="shared" si="33"/>
        <v/>
      </c>
      <c r="FP742" s="1524"/>
      <c r="FQ742" s="1524"/>
      <c r="FR742" s="1524"/>
      <c r="FS742" s="1525"/>
      <c r="FT742" s="1523" t="str">
        <f t="shared" si="34"/>
        <v/>
      </c>
      <c r="FU742" s="1524"/>
      <c r="FV742" s="1524"/>
      <c r="FW742" s="1524"/>
      <c r="FX742" s="1525"/>
      <c r="FY742" s="1523" t="str">
        <f t="shared" si="35"/>
        <v/>
      </c>
      <c r="FZ742" s="1524"/>
      <c r="GA742" s="1524"/>
      <c r="GB742" s="1524"/>
      <c r="GC742" s="1525"/>
    </row>
    <row r="743" spans="1:185" s="3" customFormat="1" ht="12.95" customHeight="1">
      <c r="A743"/>
      <c r="B743" s="1394"/>
      <c r="C743" s="1395"/>
      <c r="D743" s="1395"/>
      <c r="E743" s="1395"/>
      <c r="F743" s="1396"/>
      <c r="G743" s="1398"/>
      <c r="H743" s="1399"/>
      <c r="I743" s="1399"/>
      <c r="J743" s="1400"/>
      <c r="K743" s="1390"/>
      <c r="L743" s="1391"/>
      <c r="M743" s="1391"/>
      <c r="N743" s="1392"/>
      <c r="O743" s="1383"/>
      <c r="P743" s="1384"/>
      <c r="Q743" s="1384"/>
      <c r="R743" s="1384"/>
      <c r="S743" s="1385"/>
      <c r="T743" s="1383"/>
      <c r="U743" s="1384"/>
      <c r="V743" s="1384"/>
      <c r="W743" s="1385"/>
      <c r="X743" s="1401">
        <f t="shared" si="39"/>
        <v>0</v>
      </c>
      <c r="Y743" s="1402"/>
      <c r="Z743" s="1402"/>
      <c r="AA743" s="1402"/>
      <c r="AB743" s="1403"/>
      <c r="AC743" s="1421"/>
      <c r="AD743" s="1422"/>
      <c r="AE743" s="1422"/>
      <c r="AF743" s="1422"/>
      <c r="AG743" s="1423"/>
      <c r="AH743" s="1404" t="str">
        <f t="shared" si="36"/>
        <v/>
      </c>
      <c r="AI743" s="1405"/>
      <c r="AJ743" s="1406"/>
      <c r="AK743" s="1394" t="s">
        <v>591</v>
      </c>
      <c r="AL743" s="1395"/>
      <c r="AM743" s="1395"/>
      <c r="AN743" s="1395"/>
      <c r="AO743" s="1396"/>
      <c r="AT743"/>
      <c r="AU743"/>
      <c r="AV743"/>
      <c r="AW743"/>
      <c r="AX743"/>
      <c r="AY743" s="1085"/>
      <c r="AZ743" s="118" t="str">
        <f t="shared" si="9"/>
        <v>N/A</v>
      </c>
      <c r="BD743"/>
      <c r="BE743"/>
      <c r="BF743" s="294">
        <f t="shared" si="10"/>
        <v>0</v>
      </c>
      <c r="BG743" s="297">
        <f t="shared" si="11"/>
        <v>0</v>
      </c>
      <c r="BH743" s="298" t="str">
        <f t="shared" si="12"/>
        <v/>
      </c>
      <c r="BI743"/>
      <c r="BJ743"/>
      <c r="BK743"/>
      <c r="BL743"/>
      <c r="BM743"/>
      <c r="BN743"/>
      <c r="BO743"/>
      <c r="BP743"/>
      <c r="BQ743"/>
      <c r="BR743"/>
      <c r="BS743" s="294">
        <f t="shared" si="13"/>
        <v>0</v>
      </c>
      <c r="BT743" s="297">
        <f t="shared" si="14"/>
        <v>0</v>
      </c>
      <c r="BU743" s="298" t="str">
        <f t="shared" si="15"/>
        <v/>
      </c>
      <c r="CD743"/>
      <c r="CG743" s="1523">
        <f t="shared" si="37"/>
        <v>0</v>
      </c>
      <c r="CH743" s="1525"/>
      <c r="CI743" s="1508">
        <f t="shared" si="38"/>
        <v>0</v>
      </c>
      <c r="CJ743" s="1509"/>
      <c r="CK743" s="1523">
        <f t="shared" si="16"/>
        <v>0</v>
      </c>
      <c r="CL743" s="1525"/>
      <c r="CM743" s="1508">
        <f t="shared" si="17"/>
        <v>0</v>
      </c>
      <c r="CN743" s="1509"/>
      <c r="CP743" s="1510">
        <f t="shared" si="18"/>
        <v>0</v>
      </c>
      <c r="CQ743" s="1511"/>
      <c r="CR743" s="1511"/>
      <c r="CS743" s="1511"/>
      <c r="CT743" s="1512"/>
      <c r="CU743" s="1498">
        <f t="shared" si="19"/>
        <v>0</v>
      </c>
      <c r="CV743" s="1498"/>
      <c r="CW743" s="1498"/>
      <c r="CX743" s="1498"/>
      <c r="CY743" s="1498"/>
      <c r="CZ743" s="1498">
        <f t="shared" si="20"/>
        <v>0</v>
      </c>
      <c r="DA743" s="1498"/>
      <c r="DB743" s="1498"/>
      <c r="DC743" s="1498"/>
      <c r="DD743" s="1498"/>
      <c r="DE743" s="1498">
        <f t="shared" si="21"/>
        <v>0</v>
      </c>
      <c r="DF743" s="1498"/>
      <c r="DG743" s="1498"/>
      <c r="DH743" s="1498"/>
      <c r="DI743" s="1498"/>
      <c r="DJ743" s="1498">
        <f t="shared" si="22"/>
        <v>0</v>
      </c>
      <c r="DK743" s="1498"/>
      <c r="DL743" s="1498"/>
      <c r="DM743" s="1498"/>
      <c r="DN743" s="1498"/>
      <c r="DO743" s="1498">
        <f t="shared" si="23"/>
        <v>0</v>
      </c>
      <c r="DP743" s="1498"/>
      <c r="DQ743" s="1498"/>
      <c r="DR743" s="1498"/>
      <c r="DS743" s="1498"/>
      <c r="DT743" s="6"/>
      <c r="DU743" s="1497">
        <f t="shared" si="24"/>
        <v>0</v>
      </c>
      <c r="DV743" s="1497"/>
      <c r="DW743" s="1497"/>
      <c r="DX743" s="1497"/>
      <c r="DY743" s="1497"/>
      <c r="DZ743" s="1497">
        <f t="shared" si="25"/>
        <v>0</v>
      </c>
      <c r="EA743" s="1497"/>
      <c r="EB743" s="1497"/>
      <c r="EC743" s="1497"/>
      <c r="ED743" s="1497"/>
      <c r="EE743" s="1497">
        <f t="shared" si="26"/>
        <v>0</v>
      </c>
      <c r="EF743" s="1497"/>
      <c r="EG743" s="1497"/>
      <c r="EH743" s="1497"/>
      <c r="EI743" s="1497"/>
      <c r="EJ743" s="1497">
        <f t="shared" si="27"/>
        <v>0</v>
      </c>
      <c r="EK743" s="1497"/>
      <c r="EL743" s="1497"/>
      <c r="EM743" s="1497"/>
      <c r="EN743" s="1497"/>
      <c r="EO743" s="1497">
        <f t="shared" si="28"/>
        <v>0</v>
      </c>
      <c r="EP743" s="1497"/>
      <c r="EQ743" s="1497"/>
      <c r="ER743" s="1497"/>
      <c r="ES743" s="1497"/>
      <c r="ET743" s="1497">
        <f t="shared" si="29"/>
        <v>0</v>
      </c>
      <c r="EU743" s="1497"/>
      <c r="EV743" s="1497"/>
      <c r="EW743" s="1497"/>
      <c r="EX743" s="1497"/>
      <c r="EY743"/>
      <c r="EZ743" s="1523" t="str">
        <f t="shared" si="30"/>
        <v/>
      </c>
      <c r="FA743" s="1524"/>
      <c r="FB743" s="1524"/>
      <c r="FC743" s="1524"/>
      <c r="FD743" s="1525"/>
      <c r="FE743" s="1523" t="str">
        <f t="shared" si="31"/>
        <v/>
      </c>
      <c r="FF743" s="1524"/>
      <c r="FG743" s="1524"/>
      <c r="FH743" s="1524"/>
      <c r="FI743" s="1525"/>
      <c r="FJ743" s="1523" t="str">
        <f t="shared" si="32"/>
        <v/>
      </c>
      <c r="FK743" s="1524"/>
      <c r="FL743" s="1524"/>
      <c r="FM743" s="1524"/>
      <c r="FN743" s="1525"/>
      <c r="FO743" s="1523" t="str">
        <f t="shared" si="33"/>
        <v/>
      </c>
      <c r="FP743" s="1524"/>
      <c r="FQ743" s="1524"/>
      <c r="FR743" s="1524"/>
      <c r="FS743" s="1525"/>
      <c r="FT743" s="1523" t="str">
        <f t="shared" si="34"/>
        <v/>
      </c>
      <c r="FU743" s="1524"/>
      <c r="FV743" s="1524"/>
      <c r="FW743" s="1524"/>
      <c r="FX743" s="1525"/>
      <c r="FY743" s="1523" t="str">
        <f t="shared" si="35"/>
        <v/>
      </c>
      <c r="FZ743" s="1524"/>
      <c r="GA743" s="1524"/>
      <c r="GB743" s="1524"/>
      <c r="GC743" s="1525"/>
    </row>
    <row r="744" spans="1:185" ht="12.95" customHeight="1">
      <c r="B744" s="1394"/>
      <c r="C744" s="1395"/>
      <c r="D744" s="1395"/>
      <c r="E744" s="1395"/>
      <c r="F744" s="1396"/>
      <c r="G744" s="1398"/>
      <c r="H744" s="1399"/>
      <c r="I744" s="1399"/>
      <c r="J744" s="1400"/>
      <c r="K744" s="1390"/>
      <c r="L744" s="1391"/>
      <c r="M744" s="1391"/>
      <c r="N744" s="1392"/>
      <c r="O744" s="1383"/>
      <c r="P744" s="1384"/>
      <c r="Q744" s="1384"/>
      <c r="R744" s="1384"/>
      <c r="S744" s="1385"/>
      <c r="T744" s="1383"/>
      <c r="U744" s="1384"/>
      <c r="V744" s="1384"/>
      <c r="W744" s="1385"/>
      <c r="X744" s="1401">
        <f t="shared" si="39"/>
        <v>0</v>
      </c>
      <c r="Y744" s="1402"/>
      <c r="Z744" s="1402"/>
      <c r="AA744" s="1402"/>
      <c r="AB744" s="1403"/>
      <c r="AC744" s="1421"/>
      <c r="AD744" s="1422"/>
      <c r="AE744" s="1422"/>
      <c r="AF744" s="1422"/>
      <c r="AG744" s="1423"/>
      <c r="AH744" s="1404" t="str">
        <f t="shared" si="36"/>
        <v/>
      </c>
      <c r="AI744" s="1405"/>
      <c r="AJ744" s="1406"/>
      <c r="AK744" s="1394" t="s">
        <v>591</v>
      </c>
      <c r="AL744" s="1395"/>
      <c r="AM744" s="1395"/>
      <c r="AN744" s="1395"/>
      <c r="AO744" s="1396"/>
      <c r="AP744" s="3"/>
      <c r="AQ744" s="3"/>
      <c r="AR744" s="3"/>
      <c r="AS744" s="3"/>
      <c r="AY744" s="1085"/>
      <c r="AZ744" s="118" t="str">
        <f t="shared" si="9"/>
        <v>N/A</v>
      </c>
      <c r="BA744" s="3"/>
      <c r="BB744" s="3"/>
      <c r="BC744" s="3"/>
      <c r="BD744" s="3"/>
      <c r="BE744" s="3"/>
      <c r="BF744" s="294">
        <f t="shared" si="10"/>
        <v>0</v>
      </c>
      <c r="BG744" s="297">
        <f t="shared" si="11"/>
        <v>0</v>
      </c>
      <c r="BH744" s="298" t="str">
        <f t="shared" si="12"/>
        <v/>
      </c>
      <c r="BI744" s="3"/>
      <c r="BJ744" s="3"/>
      <c r="BK744" s="3"/>
      <c r="BL744" s="3"/>
      <c r="BM744" s="3"/>
      <c r="BN744" s="3"/>
      <c r="BS744" s="294">
        <f t="shared" si="13"/>
        <v>0</v>
      </c>
      <c r="BT744" s="297">
        <f t="shared" si="14"/>
        <v>0</v>
      </c>
      <c r="BU744" s="298" t="str">
        <f t="shared" si="15"/>
        <v/>
      </c>
      <c r="BV744" s="3"/>
      <c r="BW744" s="3"/>
      <c r="BX744" s="3"/>
      <c r="BY744" s="3"/>
      <c r="BZ744" s="3"/>
      <c r="CA744" s="3"/>
      <c r="CB744" s="3"/>
      <c r="CC744" s="3"/>
      <c r="CE744" s="3"/>
      <c r="CF744" s="3"/>
      <c r="CG744" s="1523">
        <f t="shared" si="37"/>
        <v>0</v>
      </c>
      <c r="CH744" s="1525"/>
      <c r="CI744" s="1508">
        <f t="shared" si="38"/>
        <v>0</v>
      </c>
      <c r="CJ744" s="1509"/>
      <c r="CK744" s="1523">
        <f t="shared" si="16"/>
        <v>0</v>
      </c>
      <c r="CL744" s="1525"/>
      <c r="CM744" s="1508">
        <f t="shared" si="17"/>
        <v>0</v>
      </c>
      <c r="CN744" s="1509"/>
      <c r="CO744" s="3"/>
      <c r="CP744" s="1510">
        <f t="shared" si="18"/>
        <v>0</v>
      </c>
      <c r="CQ744" s="1511"/>
      <c r="CR744" s="1511"/>
      <c r="CS744" s="1511"/>
      <c r="CT744" s="1512"/>
      <c r="CU744" s="1498">
        <f t="shared" si="19"/>
        <v>0</v>
      </c>
      <c r="CV744" s="1498"/>
      <c r="CW744" s="1498"/>
      <c r="CX744" s="1498"/>
      <c r="CY744" s="1498"/>
      <c r="CZ744" s="1498">
        <f t="shared" si="20"/>
        <v>0</v>
      </c>
      <c r="DA744" s="1498"/>
      <c r="DB744" s="1498"/>
      <c r="DC744" s="1498"/>
      <c r="DD744" s="1498"/>
      <c r="DE744" s="1498">
        <f t="shared" si="21"/>
        <v>0</v>
      </c>
      <c r="DF744" s="1498"/>
      <c r="DG744" s="1498"/>
      <c r="DH744" s="1498"/>
      <c r="DI744" s="1498"/>
      <c r="DJ744" s="1498">
        <f t="shared" si="22"/>
        <v>0</v>
      </c>
      <c r="DK744" s="1498"/>
      <c r="DL744" s="1498"/>
      <c r="DM744" s="1498"/>
      <c r="DN744" s="1498"/>
      <c r="DO744" s="1498">
        <f t="shared" si="23"/>
        <v>0</v>
      </c>
      <c r="DP744" s="1498"/>
      <c r="DQ744" s="1498"/>
      <c r="DR744" s="1498"/>
      <c r="DS744" s="1498"/>
      <c r="DT744" s="6"/>
      <c r="DU744" s="1497">
        <f t="shared" si="24"/>
        <v>0</v>
      </c>
      <c r="DV744" s="1497"/>
      <c r="DW744" s="1497"/>
      <c r="DX744" s="1497"/>
      <c r="DY744" s="1497"/>
      <c r="DZ744" s="1497">
        <f t="shared" si="25"/>
        <v>0</v>
      </c>
      <c r="EA744" s="1497"/>
      <c r="EB744" s="1497"/>
      <c r="EC744" s="1497"/>
      <c r="ED744" s="1497"/>
      <c r="EE744" s="1497">
        <f t="shared" si="26"/>
        <v>0</v>
      </c>
      <c r="EF744" s="1497"/>
      <c r="EG744" s="1497"/>
      <c r="EH744" s="1497"/>
      <c r="EI744" s="1497"/>
      <c r="EJ744" s="1497">
        <f t="shared" si="27"/>
        <v>0</v>
      </c>
      <c r="EK744" s="1497"/>
      <c r="EL744" s="1497"/>
      <c r="EM744" s="1497"/>
      <c r="EN744" s="1497"/>
      <c r="EO744" s="1497">
        <f t="shared" si="28"/>
        <v>0</v>
      </c>
      <c r="EP744" s="1497"/>
      <c r="EQ744" s="1497"/>
      <c r="ER744" s="1497"/>
      <c r="ES744" s="1497"/>
      <c r="ET744" s="1497">
        <f t="shared" si="29"/>
        <v>0</v>
      </c>
      <c r="EU744" s="1497"/>
      <c r="EV744" s="1497"/>
      <c r="EW744" s="1497"/>
      <c r="EX744" s="1497"/>
      <c r="EZ744" s="1523" t="str">
        <f t="shared" si="30"/>
        <v/>
      </c>
      <c r="FA744" s="1524"/>
      <c r="FB744" s="1524"/>
      <c r="FC744" s="1524"/>
      <c r="FD744" s="1525"/>
      <c r="FE744" s="1523" t="str">
        <f t="shared" si="31"/>
        <v/>
      </c>
      <c r="FF744" s="1524"/>
      <c r="FG744" s="1524"/>
      <c r="FH744" s="1524"/>
      <c r="FI744" s="1525"/>
      <c r="FJ744" s="1523" t="str">
        <f t="shared" si="32"/>
        <v/>
      </c>
      <c r="FK744" s="1524"/>
      <c r="FL744" s="1524"/>
      <c r="FM744" s="1524"/>
      <c r="FN744" s="1525"/>
      <c r="FO744" s="1523" t="str">
        <f t="shared" si="33"/>
        <v/>
      </c>
      <c r="FP744" s="1524"/>
      <c r="FQ744" s="1524"/>
      <c r="FR744" s="1524"/>
      <c r="FS744" s="1525"/>
      <c r="FT744" s="1523" t="str">
        <f t="shared" si="34"/>
        <v/>
      </c>
      <c r="FU744" s="1524"/>
      <c r="FV744" s="1524"/>
      <c r="FW744" s="1524"/>
      <c r="FX744" s="1525"/>
      <c r="FY744" s="1523" t="str">
        <f t="shared" si="35"/>
        <v/>
      </c>
      <c r="FZ744" s="1524"/>
      <c r="GA744" s="1524"/>
      <c r="GB744" s="1524"/>
      <c r="GC744" s="1525"/>
    </row>
    <row r="745" spans="1:185" ht="12.95" customHeight="1">
      <c r="B745" s="1394"/>
      <c r="C745" s="1395"/>
      <c r="D745" s="1395"/>
      <c r="E745" s="1395"/>
      <c r="F745" s="1396"/>
      <c r="G745" s="1398"/>
      <c r="H745" s="1399"/>
      <c r="I745" s="1399"/>
      <c r="J745" s="1400"/>
      <c r="K745" s="1390"/>
      <c r="L745" s="1391"/>
      <c r="M745" s="1391"/>
      <c r="N745" s="1392"/>
      <c r="O745" s="1383"/>
      <c r="P745" s="1384"/>
      <c r="Q745" s="1384"/>
      <c r="R745" s="1384"/>
      <c r="S745" s="1385"/>
      <c r="T745" s="1383"/>
      <c r="U745" s="1384"/>
      <c r="V745" s="1384"/>
      <c r="W745" s="1385"/>
      <c r="X745" s="1401">
        <f t="shared" si="39"/>
        <v>0</v>
      </c>
      <c r="Y745" s="1402"/>
      <c r="Z745" s="1402"/>
      <c r="AA745" s="1402"/>
      <c r="AB745" s="1403"/>
      <c r="AC745" s="1421"/>
      <c r="AD745" s="1422"/>
      <c r="AE745" s="1422"/>
      <c r="AF745" s="1422"/>
      <c r="AG745" s="1423"/>
      <c r="AH745" s="1404" t="str">
        <f t="shared" si="36"/>
        <v/>
      </c>
      <c r="AI745" s="1405"/>
      <c r="AJ745" s="1406"/>
      <c r="AK745" s="1394" t="s">
        <v>591</v>
      </c>
      <c r="AL745" s="1395"/>
      <c r="AM745" s="1395"/>
      <c r="AN745" s="1395"/>
      <c r="AO745" s="1396"/>
      <c r="AP745" s="3"/>
      <c r="AQ745" s="3"/>
      <c r="AR745" s="3"/>
      <c r="AS745" s="3"/>
      <c r="AY745" s="1085"/>
      <c r="AZ745" s="118" t="str">
        <f t="shared" si="9"/>
        <v>N/A</v>
      </c>
      <c r="BA745" s="3"/>
      <c r="BB745" s="3"/>
      <c r="BC745" s="3"/>
      <c r="BD745" s="3"/>
      <c r="BE745" s="3"/>
      <c r="BF745" s="294">
        <f t="shared" si="10"/>
        <v>0</v>
      </c>
      <c r="BG745" s="297">
        <f t="shared" si="11"/>
        <v>0</v>
      </c>
      <c r="BH745" s="298" t="str">
        <f t="shared" si="12"/>
        <v/>
      </c>
      <c r="BI745" s="3"/>
      <c r="BJ745" s="3"/>
      <c r="BK745" s="3"/>
      <c r="BL745" s="3"/>
      <c r="BM745" s="3"/>
      <c r="BN745" s="3"/>
      <c r="BS745" s="294">
        <f t="shared" si="13"/>
        <v>0</v>
      </c>
      <c r="BT745" s="297">
        <f t="shared" si="14"/>
        <v>0</v>
      </c>
      <c r="BU745" s="298" t="str">
        <f t="shared" si="15"/>
        <v/>
      </c>
      <c r="BV745" s="3"/>
      <c r="BW745" s="3"/>
      <c r="BX745" s="3"/>
      <c r="BY745" s="3"/>
      <c r="BZ745" s="3"/>
      <c r="CA745" s="3"/>
      <c r="CB745" s="3"/>
      <c r="CC745" s="3"/>
      <c r="CE745" s="3"/>
      <c r="CF745" s="3"/>
      <c r="CG745" s="1523">
        <f t="shared" si="37"/>
        <v>0</v>
      </c>
      <c r="CH745" s="1525"/>
      <c r="CI745" s="1508">
        <f t="shared" si="38"/>
        <v>0</v>
      </c>
      <c r="CJ745" s="1509"/>
      <c r="CK745" s="1523">
        <f t="shared" si="16"/>
        <v>0</v>
      </c>
      <c r="CL745" s="1525"/>
      <c r="CM745" s="1508">
        <f t="shared" si="17"/>
        <v>0</v>
      </c>
      <c r="CN745" s="1509"/>
      <c r="CO745" s="3"/>
      <c r="CP745" s="1510">
        <f t="shared" si="18"/>
        <v>0</v>
      </c>
      <c r="CQ745" s="1511"/>
      <c r="CR745" s="1511"/>
      <c r="CS745" s="1511"/>
      <c r="CT745" s="1512"/>
      <c r="CU745" s="1498">
        <f t="shared" si="19"/>
        <v>0</v>
      </c>
      <c r="CV745" s="1498"/>
      <c r="CW745" s="1498"/>
      <c r="CX745" s="1498"/>
      <c r="CY745" s="1498"/>
      <c r="CZ745" s="1498">
        <f t="shared" si="20"/>
        <v>0</v>
      </c>
      <c r="DA745" s="1498"/>
      <c r="DB745" s="1498"/>
      <c r="DC745" s="1498"/>
      <c r="DD745" s="1498"/>
      <c r="DE745" s="1498">
        <f t="shared" si="21"/>
        <v>0</v>
      </c>
      <c r="DF745" s="1498"/>
      <c r="DG745" s="1498"/>
      <c r="DH745" s="1498"/>
      <c r="DI745" s="1498"/>
      <c r="DJ745" s="1498">
        <f t="shared" si="22"/>
        <v>0</v>
      </c>
      <c r="DK745" s="1498"/>
      <c r="DL745" s="1498"/>
      <c r="DM745" s="1498"/>
      <c r="DN745" s="1498"/>
      <c r="DO745" s="1498">
        <f t="shared" si="23"/>
        <v>0</v>
      </c>
      <c r="DP745" s="1498"/>
      <c r="DQ745" s="1498"/>
      <c r="DR745" s="1498"/>
      <c r="DS745" s="1498"/>
      <c r="DT745" s="6"/>
      <c r="DU745" s="1497">
        <f t="shared" si="24"/>
        <v>0</v>
      </c>
      <c r="DV745" s="1497"/>
      <c r="DW745" s="1497"/>
      <c r="DX745" s="1497"/>
      <c r="DY745" s="1497"/>
      <c r="DZ745" s="1497">
        <f t="shared" si="25"/>
        <v>0</v>
      </c>
      <c r="EA745" s="1497"/>
      <c r="EB745" s="1497"/>
      <c r="EC745" s="1497"/>
      <c r="ED745" s="1497"/>
      <c r="EE745" s="1497">
        <f t="shared" si="26"/>
        <v>0</v>
      </c>
      <c r="EF745" s="1497"/>
      <c r="EG745" s="1497"/>
      <c r="EH745" s="1497"/>
      <c r="EI745" s="1497"/>
      <c r="EJ745" s="1497">
        <f t="shared" si="27"/>
        <v>0</v>
      </c>
      <c r="EK745" s="1497"/>
      <c r="EL745" s="1497"/>
      <c r="EM745" s="1497"/>
      <c r="EN745" s="1497"/>
      <c r="EO745" s="1497">
        <f t="shared" si="28"/>
        <v>0</v>
      </c>
      <c r="EP745" s="1497"/>
      <c r="EQ745" s="1497"/>
      <c r="ER745" s="1497"/>
      <c r="ES745" s="1497"/>
      <c r="ET745" s="1497">
        <f t="shared" si="29"/>
        <v>0</v>
      </c>
      <c r="EU745" s="1497"/>
      <c r="EV745" s="1497"/>
      <c r="EW745" s="1497"/>
      <c r="EX745" s="1497"/>
      <c r="EZ745" s="1523" t="str">
        <f t="shared" si="30"/>
        <v/>
      </c>
      <c r="FA745" s="1524"/>
      <c r="FB745" s="1524"/>
      <c r="FC745" s="1524"/>
      <c r="FD745" s="1525"/>
      <c r="FE745" s="1523" t="str">
        <f t="shared" si="31"/>
        <v/>
      </c>
      <c r="FF745" s="1524"/>
      <c r="FG745" s="1524"/>
      <c r="FH745" s="1524"/>
      <c r="FI745" s="1525"/>
      <c r="FJ745" s="1523" t="str">
        <f t="shared" si="32"/>
        <v/>
      </c>
      <c r="FK745" s="1524"/>
      <c r="FL745" s="1524"/>
      <c r="FM745" s="1524"/>
      <c r="FN745" s="1525"/>
      <c r="FO745" s="1523" t="str">
        <f t="shared" si="33"/>
        <v/>
      </c>
      <c r="FP745" s="1524"/>
      <c r="FQ745" s="1524"/>
      <c r="FR745" s="1524"/>
      <c r="FS745" s="1525"/>
      <c r="FT745" s="1523" t="str">
        <f t="shared" si="34"/>
        <v/>
      </c>
      <c r="FU745" s="1524"/>
      <c r="FV745" s="1524"/>
      <c r="FW745" s="1524"/>
      <c r="FX745" s="1525"/>
      <c r="FY745" s="1523" t="str">
        <f t="shared" si="35"/>
        <v/>
      </c>
      <c r="FZ745" s="1524"/>
      <c r="GA745" s="1524"/>
      <c r="GB745" s="1524"/>
      <c r="GC745" s="1525"/>
    </row>
    <row r="746" spans="1:185" ht="12.95" customHeight="1">
      <c r="B746" s="1394"/>
      <c r="C746" s="1395"/>
      <c r="D746" s="1395"/>
      <c r="E746" s="1395"/>
      <c r="F746" s="1396"/>
      <c r="G746" s="1398"/>
      <c r="H746" s="1399"/>
      <c r="I746" s="1399"/>
      <c r="J746" s="1400"/>
      <c r="K746" s="1390"/>
      <c r="L746" s="1391"/>
      <c r="M746" s="1391"/>
      <c r="N746" s="1392"/>
      <c r="O746" s="1383"/>
      <c r="P746" s="1384"/>
      <c r="Q746" s="1384"/>
      <c r="R746" s="1384"/>
      <c r="S746" s="1385"/>
      <c r="T746" s="1383"/>
      <c r="U746" s="1384"/>
      <c r="V746" s="1384"/>
      <c r="W746" s="1385"/>
      <c r="X746" s="1401">
        <f t="shared" si="39"/>
        <v>0</v>
      </c>
      <c r="Y746" s="1402"/>
      <c r="Z746" s="1402"/>
      <c r="AA746" s="1402"/>
      <c r="AB746" s="1403"/>
      <c r="AC746" s="1421"/>
      <c r="AD746" s="1422"/>
      <c r="AE746" s="1422"/>
      <c r="AF746" s="1422"/>
      <c r="AG746" s="1423"/>
      <c r="AH746" s="1404" t="str">
        <f t="shared" si="36"/>
        <v/>
      </c>
      <c r="AI746" s="1405"/>
      <c r="AJ746" s="1406"/>
      <c r="AK746" s="1394" t="s">
        <v>591</v>
      </c>
      <c r="AL746" s="1395"/>
      <c r="AM746" s="1395"/>
      <c r="AN746" s="1395"/>
      <c r="AO746" s="1396"/>
      <c r="AP746" s="3"/>
      <c r="AQ746" s="3"/>
      <c r="AR746" s="3"/>
      <c r="AS746" s="3"/>
      <c r="AY746" s="1085"/>
      <c r="AZ746" s="118" t="str">
        <f t="shared" si="9"/>
        <v>N/A</v>
      </c>
      <c r="BA746" s="34"/>
      <c r="BB746" s="34"/>
      <c r="BC746" s="34"/>
      <c r="BD746" s="34"/>
      <c r="BE746" s="34"/>
      <c r="BF746" s="294">
        <f t="shared" si="10"/>
        <v>0</v>
      </c>
      <c r="BG746" s="297">
        <f t="shared" si="11"/>
        <v>0</v>
      </c>
      <c r="BH746" s="298" t="str">
        <f t="shared" si="12"/>
        <v/>
      </c>
      <c r="BI746" s="34"/>
      <c r="BJ746" s="34"/>
      <c r="BK746" s="34"/>
      <c r="BL746" s="34"/>
      <c r="BM746" s="34"/>
      <c r="BN746" s="34"/>
      <c r="BS746" s="294">
        <f t="shared" si="13"/>
        <v>0</v>
      </c>
      <c r="BT746" s="297">
        <f t="shared" si="14"/>
        <v>0</v>
      </c>
      <c r="BU746" s="298" t="str">
        <f t="shared" si="15"/>
        <v/>
      </c>
      <c r="BV746" s="3"/>
      <c r="BW746" s="3"/>
      <c r="BX746" s="3"/>
      <c r="BY746" s="3"/>
      <c r="BZ746" s="3"/>
      <c r="CA746" s="3"/>
      <c r="CB746" s="3"/>
      <c r="CC746" s="3"/>
      <c r="CE746" s="3"/>
      <c r="CF746" s="3"/>
      <c r="CG746" s="1523">
        <f t="shared" si="37"/>
        <v>0</v>
      </c>
      <c r="CH746" s="1525"/>
      <c r="CI746" s="1508">
        <f t="shared" si="38"/>
        <v>0</v>
      </c>
      <c r="CJ746" s="1509"/>
      <c r="CK746" s="1523">
        <f t="shared" si="16"/>
        <v>0</v>
      </c>
      <c r="CL746" s="1525"/>
      <c r="CM746" s="1508">
        <f t="shared" si="17"/>
        <v>0</v>
      </c>
      <c r="CN746" s="1509"/>
      <c r="CO746" s="3"/>
      <c r="CP746" s="1510">
        <f t="shared" si="18"/>
        <v>0</v>
      </c>
      <c r="CQ746" s="1511"/>
      <c r="CR746" s="1511"/>
      <c r="CS746" s="1511"/>
      <c r="CT746" s="1512"/>
      <c r="CU746" s="1498">
        <f t="shared" si="19"/>
        <v>0</v>
      </c>
      <c r="CV746" s="1498"/>
      <c r="CW746" s="1498"/>
      <c r="CX746" s="1498"/>
      <c r="CY746" s="1498"/>
      <c r="CZ746" s="1498">
        <f t="shared" si="20"/>
        <v>0</v>
      </c>
      <c r="DA746" s="1498"/>
      <c r="DB746" s="1498"/>
      <c r="DC746" s="1498"/>
      <c r="DD746" s="1498"/>
      <c r="DE746" s="1498">
        <f t="shared" si="21"/>
        <v>0</v>
      </c>
      <c r="DF746" s="1498"/>
      <c r="DG746" s="1498"/>
      <c r="DH746" s="1498"/>
      <c r="DI746" s="1498"/>
      <c r="DJ746" s="1498">
        <f t="shared" si="22"/>
        <v>0</v>
      </c>
      <c r="DK746" s="1498"/>
      <c r="DL746" s="1498"/>
      <c r="DM746" s="1498"/>
      <c r="DN746" s="1498"/>
      <c r="DO746" s="1498">
        <f t="shared" si="23"/>
        <v>0</v>
      </c>
      <c r="DP746" s="1498"/>
      <c r="DQ746" s="1498"/>
      <c r="DR746" s="1498"/>
      <c r="DS746" s="1498"/>
      <c r="DT746" s="6"/>
      <c r="DU746" s="1497">
        <f t="shared" si="24"/>
        <v>0</v>
      </c>
      <c r="DV746" s="1497"/>
      <c r="DW746" s="1497"/>
      <c r="DX746" s="1497"/>
      <c r="DY746" s="1497"/>
      <c r="DZ746" s="1497">
        <f t="shared" si="25"/>
        <v>0</v>
      </c>
      <c r="EA746" s="1497"/>
      <c r="EB746" s="1497"/>
      <c r="EC746" s="1497"/>
      <c r="ED746" s="1497"/>
      <c r="EE746" s="1497">
        <f t="shared" si="26"/>
        <v>0</v>
      </c>
      <c r="EF746" s="1497"/>
      <c r="EG746" s="1497"/>
      <c r="EH746" s="1497"/>
      <c r="EI746" s="1497"/>
      <c r="EJ746" s="1497">
        <f t="shared" si="27"/>
        <v>0</v>
      </c>
      <c r="EK746" s="1497"/>
      <c r="EL746" s="1497"/>
      <c r="EM746" s="1497"/>
      <c r="EN746" s="1497"/>
      <c r="EO746" s="1497">
        <f t="shared" si="28"/>
        <v>0</v>
      </c>
      <c r="EP746" s="1497"/>
      <c r="EQ746" s="1497"/>
      <c r="ER746" s="1497"/>
      <c r="ES746" s="1497"/>
      <c r="ET746" s="1497">
        <f t="shared" si="29"/>
        <v>0</v>
      </c>
      <c r="EU746" s="1497"/>
      <c r="EV746" s="1497"/>
      <c r="EW746" s="1497"/>
      <c r="EX746" s="1497"/>
      <c r="EZ746" s="1523" t="str">
        <f t="shared" si="30"/>
        <v/>
      </c>
      <c r="FA746" s="1524"/>
      <c r="FB746" s="1524"/>
      <c r="FC746" s="1524"/>
      <c r="FD746" s="1525"/>
      <c r="FE746" s="1523" t="str">
        <f t="shared" si="31"/>
        <v/>
      </c>
      <c r="FF746" s="1524"/>
      <c r="FG746" s="1524"/>
      <c r="FH746" s="1524"/>
      <c r="FI746" s="1525"/>
      <c r="FJ746" s="1523" t="str">
        <f t="shared" si="32"/>
        <v/>
      </c>
      <c r="FK746" s="1524"/>
      <c r="FL746" s="1524"/>
      <c r="FM746" s="1524"/>
      <c r="FN746" s="1525"/>
      <c r="FO746" s="1523" t="str">
        <f t="shared" si="33"/>
        <v/>
      </c>
      <c r="FP746" s="1524"/>
      <c r="FQ746" s="1524"/>
      <c r="FR746" s="1524"/>
      <c r="FS746" s="1525"/>
      <c r="FT746" s="1523" t="str">
        <f t="shared" si="34"/>
        <v/>
      </c>
      <c r="FU746" s="1524"/>
      <c r="FV746" s="1524"/>
      <c r="FW746" s="1524"/>
      <c r="FX746" s="1525"/>
      <c r="FY746" s="1523" t="str">
        <f t="shared" si="35"/>
        <v/>
      </c>
      <c r="FZ746" s="1524"/>
      <c r="GA746" s="1524"/>
      <c r="GB746" s="1524"/>
      <c r="GC746" s="1525"/>
    </row>
    <row r="747" spans="1:185" ht="12.95" customHeight="1">
      <c r="B747" s="1394"/>
      <c r="C747" s="1395"/>
      <c r="D747" s="1395"/>
      <c r="E747" s="1395"/>
      <c r="F747" s="1396"/>
      <c r="G747" s="1398"/>
      <c r="H747" s="1399"/>
      <c r="I747" s="1399"/>
      <c r="J747" s="1400"/>
      <c r="K747" s="1390"/>
      <c r="L747" s="1391"/>
      <c r="M747" s="1391"/>
      <c r="N747" s="1392"/>
      <c r="O747" s="1383"/>
      <c r="P747" s="1384"/>
      <c r="Q747" s="1384"/>
      <c r="R747" s="1384"/>
      <c r="S747" s="1385"/>
      <c r="T747" s="1383"/>
      <c r="U747" s="1384"/>
      <c r="V747" s="1384"/>
      <c r="W747" s="1385"/>
      <c r="X747" s="1401">
        <f t="shared" si="39"/>
        <v>0</v>
      </c>
      <c r="Y747" s="1402"/>
      <c r="Z747" s="1402"/>
      <c r="AA747" s="1402"/>
      <c r="AB747" s="1403"/>
      <c r="AC747" s="1421"/>
      <c r="AD747" s="1422"/>
      <c r="AE747" s="1422"/>
      <c r="AF747" s="1422"/>
      <c r="AG747" s="1423"/>
      <c r="AH747" s="1404" t="str">
        <f t="shared" si="36"/>
        <v/>
      </c>
      <c r="AI747" s="1405"/>
      <c r="AJ747" s="1406"/>
      <c r="AK747" s="1394" t="s">
        <v>591</v>
      </c>
      <c r="AL747" s="1395"/>
      <c r="AM747" s="1395"/>
      <c r="AN747" s="1395"/>
      <c r="AO747" s="1396"/>
      <c r="AP747" s="3"/>
      <c r="AQ747" s="3"/>
      <c r="AR747" s="3"/>
      <c r="AS747" s="3"/>
      <c r="AY747" s="1085"/>
      <c r="AZ747" s="118" t="str">
        <f t="shared" si="9"/>
        <v>N/A</v>
      </c>
      <c r="BA747" s="34"/>
      <c r="BB747" s="34"/>
      <c r="BC747" s="34"/>
      <c r="BD747" s="34"/>
      <c r="BE747" s="34"/>
      <c r="BF747" s="294">
        <f t="shared" si="10"/>
        <v>0</v>
      </c>
      <c r="BG747" s="297">
        <f t="shared" si="11"/>
        <v>0</v>
      </c>
      <c r="BH747" s="298" t="str">
        <f t="shared" si="12"/>
        <v/>
      </c>
      <c r="BI747" s="34"/>
      <c r="BJ747" s="34"/>
      <c r="BK747" s="34"/>
      <c r="BL747" s="34"/>
      <c r="BM747" s="34"/>
      <c r="BN747" s="34"/>
      <c r="BS747" s="294">
        <f t="shared" si="13"/>
        <v>0</v>
      </c>
      <c r="BT747" s="297">
        <f t="shared" si="14"/>
        <v>0</v>
      </c>
      <c r="BU747" s="298" t="str">
        <f t="shared" si="15"/>
        <v/>
      </c>
      <c r="BV747" s="3"/>
      <c r="BW747" s="3"/>
      <c r="BX747" s="3"/>
      <c r="BY747" s="3"/>
      <c r="BZ747" s="3"/>
      <c r="CA747" s="3"/>
      <c r="CB747" s="3"/>
      <c r="CC747" s="3"/>
      <c r="CE747" s="3"/>
      <c r="CF747" s="3"/>
      <c r="CG747" s="1523">
        <f t="shared" si="37"/>
        <v>0</v>
      </c>
      <c r="CH747" s="1525"/>
      <c r="CI747" s="1508">
        <f t="shared" si="38"/>
        <v>0</v>
      </c>
      <c r="CJ747" s="1509"/>
      <c r="CK747" s="1523">
        <f t="shared" si="16"/>
        <v>0</v>
      </c>
      <c r="CL747" s="1525"/>
      <c r="CM747" s="1508">
        <f t="shared" si="17"/>
        <v>0</v>
      </c>
      <c r="CN747" s="1509"/>
      <c r="CO747" s="3"/>
      <c r="CP747" s="1510">
        <f t="shared" si="18"/>
        <v>0</v>
      </c>
      <c r="CQ747" s="1511"/>
      <c r="CR747" s="1511"/>
      <c r="CS747" s="1511"/>
      <c r="CT747" s="1512"/>
      <c r="CU747" s="1498">
        <f t="shared" si="19"/>
        <v>0</v>
      </c>
      <c r="CV747" s="1498"/>
      <c r="CW747" s="1498"/>
      <c r="CX747" s="1498"/>
      <c r="CY747" s="1498"/>
      <c r="CZ747" s="1498">
        <f t="shared" si="20"/>
        <v>0</v>
      </c>
      <c r="DA747" s="1498"/>
      <c r="DB747" s="1498"/>
      <c r="DC747" s="1498"/>
      <c r="DD747" s="1498"/>
      <c r="DE747" s="1498">
        <f t="shared" si="21"/>
        <v>0</v>
      </c>
      <c r="DF747" s="1498"/>
      <c r="DG747" s="1498"/>
      <c r="DH747" s="1498"/>
      <c r="DI747" s="1498"/>
      <c r="DJ747" s="1498">
        <f t="shared" si="22"/>
        <v>0</v>
      </c>
      <c r="DK747" s="1498"/>
      <c r="DL747" s="1498"/>
      <c r="DM747" s="1498"/>
      <c r="DN747" s="1498"/>
      <c r="DO747" s="1498">
        <f t="shared" si="23"/>
        <v>0</v>
      </c>
      <c r="DP747" s="1498"/>
      <c r="DQ747" s="1498"/>
      <c r="DR747" s="1498"/>
      <c r="DS747" s="1498"/>
      <c r="DT747" s="6"/>
      <c r="DU747" s="1497">
        <f t="shared" si="24"/>
        <v>0</v>
      </c>
      <c r="DV747" s="1497"/>
      <c r="DW747" s="1497"/>
      <c r="DX747" s="1497"/>
      <c r="DY747" s="1497"/>
      <c r="DZ747" s="1497">
        <f t="shared" si="25"/>
        <v>0</v>
      </c>
      <c r="EA747" s="1497"/>
      <c r="EB747" s="1497"/>
      <c r="EC747" s="1497"/>
      <c r="ED747" s="1497"/>
      <c r="EE747" s="1497">
        <f t="shared" si="26"/>
        <v>0</v>
      </c>
      <c r="EF747" s="1497"/>
      <c r="EG747" s="1497"/>
      <c r="EH747" s="1497"/>
      <c r="EI747" s="1497"/>
      <c r="EJ747" s="1497">
        <f t="shared" si="27"/>
        <v>0</v>
      </c>
      <c r="EK747" s="1497"/>
      <c r="EL747" s="1497"/>
      <c r="EM747" s="1497"/>
      <c r="EN747" s="1497"/>
      <c r="EO747" s="1497">
        <f t="shared" si="28"/>
        <v>0</v>
      </c>
      <c r="EP747" s="1497"/>
      <c r="EQ747" s="1497"/>
      <c r="ER747" s="1497"/>
      <c r="ES747" s="1497"/>
      <c r="ET747" s="1497">
        <f t="shared" si="29"/>
        <v>0</v>
      </c>
      <c r="EU747" s="1497"/>
      <c r="EV747" s="1497"/>
      <c r="EW747" s="1497"/>
      <c r="EX747" s="1497"/>
      <c r="EZ747" s="1523" t="str">
        <f t="shared" si="30"/>
        <v/>
      </c>
      <c r="FA747" s="1524"/>
      <c r="FB747" s="1524"/>
      <c r="FC747" s="1524"/>
      <c r="FD747" s="1525"/>
      <c r="FE747" s="1523" t="str">
        <f t="shared" si="31"/>
        <v/>
      </c>
      <c r="FF747" s="1524"/>
      <c r="FG747" s="1524"/>
      <c r="FH747" s="1524"/>
      <c r="FI747" s="1525"/>
      <c r="FJ747" s="1523" t="str">
        <f t="shared" si="32"/>
        <v/>
      </c>
      <c r="FK747" s="1524"/>
      <c r="FL747" s="1524"/>
      <c r="FM747" s="1524"/>
      <c r="FN747" s="1525"/>
      <c r="FO747" s="1523" t="str">
        <f t="shared" si="33"/>
        <v/>
      </c>
      <c r="FP747" s="1524"/>
      <c r="FQ747" s="1524"/>
      <c r="FR747" s="1524"/>
      <c r="FS747" s="1525"/>
      <c r="FT747" s="1523" t="str">
        <f t="shared" si="34"/>
        <v/>
      </c>
      <c r="FU747" s="1524"/>
      <c r="FV747" s="1524"/>
      <c r="FW747" s="1524"/>
      <c r="FX747" s="1525"/>
      <c r="FY747" s="1523" t="str">
        <f t="shared" si="35"/>
        <v/>
      </c>
      <c r="FZ747" s="1524"/>
      <c r="GA747" s="1524"/>
      <c r="GB747" s="1524"/>
      <c r="GC747" s="1525"/>
    </row>
    <row r="748" spans="1:185" s="3" customFormat="1" ht="12.95" customHeight="1">
      <c r="A748"/>
      <c r="B748" s="1394"/>
      <c r="C748" s="1395"/>
      <c r="D748" s="1395"/>
      <c r="E748" s="1395"/>
      <c r="F748" s="1396"/>
      <c r="G748" s="1398"/>
      <c r="H748" s="1399"/>
      <c r="I748" s="1399"/>
      <c r="J748" s="1400"/>
      <c r="K748" s="1390"/>
      <c r="L748" s="1391"/>
      <c r="M748" s="1391"/>
      <c r="N748" s="1392"/>
      <c r="O748" s="1383"/>
      <c r="P748" s="1384"/>
      <c r="Q748" s="1384"/>
      <c r="R748" s="1384"/>
      <c r="S748" s="1385"/>
      <c r="T748" s="1383"/>
      <c r="U748" s="1384"/>
      <c r="V748" s="1384"/>
      <c r="W748" s="1385"/>
      <c r="X748" s="1401">
        <f t="shared" si="39"/>
        <v>0</v>
      </c>
      <c r="Y748" s="1402"/>
      <c r="Z748" s="1402"/>
      <c r="AA748" s="1402"/>
      <c r="AB748" s="1403"/>
      <c r="AC748" s="1421"/>
      <c r="AD748" s="1422"/>
      <c r="AE748" s="1422"/>
      <c r="AF748" s="1422"/>
      <c r="AG748" s="1423"/>
      <c r="AH748" s="1404" t="str">
        <f t="shared" si="36"/>
        <v/>
      </c>
      <c r="AI748" s="1405"/>
      <c r="AJ748" s="1406"/>
      <c r="AK748" s="1394" t="s">
        <v>591</v>
      </c>
      <c r="AL748" s="1395"/>
      <c r="AM748" s="1395"/>
      <c r="AN748" s="1395"/>
      <c r="AO748" s="1396"/>
      <c r="AT748"/>
      <c r="AU748"/>
      <c r="AV748"/>
      <c r="AW748"/>
      <c r="AX748"/>
      <c r="AY748" s="1085"/>
      <c r="AZ748" s="118" t="str">
        <f t="shared" si="9"/>
        <v>N/A</v>
      </c>
      <c r="BA748" s="34"/>
      <c r="BB748" s="34"/>
      <c r="BC748" s="34"/>
      <c r="BD748" s="34"/>
      <c r="BE748" s="34"/>
      <c r="BF748" s="294">
        <f t="shared" si="10"/>
        <v>0</v>
      </c>
      <c r="BG748" s="297">
        <f t="shared" si="11"/>
        <v>0</v>
      </c>
      <c r="BH748" s="298" t="str">
        <f t="shared" si="12"/>
        <v/>
      </c>
      <c r="BJ748" s="34"/>
      <c r="BK748" s="34"/>
      <c r="BL748" s="34"/>
      <c r="BM748" s="34"/>
      <c r="BN748" s="34"/>
      <c r="BO748"/>
      <c r="BP748"/>
      <c r="BQ748"/>
      <c r="BR748"/>
      <c r="BS748" s="294">
        <f t="shared" si="13"/>
        <v>0</v>
      </c>
      <c r="BT748" s="297">
        <f t="shared" si="14"/>
        <v>0</v>
      </c>
      <c r="BU748" s="298" t="str">
        <f t="shared" si="15"/>
        <v/>
      </c>
      <c r="CD748"/>
      <c r="CG748" s="1523">
        <f t="shared" si="37"/>
        <v>0</v>
      </c>
      <c r="CH748" s="1525"/>
      <c r="CI748" s="1508">
        <f t="shared" si="38"/>
        <v>0</v>
      </c>
      <c r="CJ748" s="1509"/>
      <c r="CK748" s="1523">
        <f t="shared" si="16"/>
        <v>0</v>
      </c>
      <c r="CL748" s="1525"/>
      <c r="CM748" s="1508">
        <f t="shared" si="17"/>
        <v>0</v>
      </c>
      <c r="CN748" s="1509"/>
      <c r="CP748" s="1510">
        <f t="shared" si="18"/>
        <v>0</v>
      </c>
      <c r="CQ748" s="1511"/>
      <c r="CR748" s="1511"/>
      <c r="CS748" s="1511"/>
      <c r="CT748" s="1512"/>
      <c r="CU748" s="1498">
        <f t="shared" si="19"/>
        <v>0</v>
      </c>
      <c r="CV748" s="1498"/>
      <c r="CW748" s="1498"/>
      <c r="CX748" s="1498"/>
      <c r="CY748" s="1498"/>
      <c r="CZ748" s="1498">
        <f t="shared" si="20"/>
        <v>0</v>
      </c>
      <c r="DA748" s="1498"/>
      <c r="DB748" s="1498"/>
      <c r="DC748" s="1498"/>
      <c r="DD748" s="1498"/>
      <c r="DE748" s="1498">
        <f t="shared" si="21"/>
        <v>0</v>
      </c>
      <c r="DF748" s="1498"/>
      <c r="DG748" s="1498"/>
      <c r="DH748" s="1498"/>
      <c r="DI748" s="1498"/>
      <c r="DJ748" s="1498">
        <f t="shared" si="22"/>
        <v>0</v>
      </c>
      <c r="DK748" s="1498"/>
      <c r="DL748" s="1498"/>
      <c r="DM748" s="1498"/>
      <c r="DN748" s="1498"/>
      <c r="DO748" s="1498">
        <f t="shared" si="23"/>
        <v>0</v>
      </c>
      <c r="DP748" s="1498"/>
      <c r="DQ748" s="1498"/>
      <c r="DR748" s="1498"/>
      <c r="DS748" s="1498"/>
      <c r="DT748" s="6"/>
      <c r="DU748" s="1497">
        <f t="shared" si="24"/>
        <v>0</v>
      </c>
      <c r="DV748" s="1497"/>
      <c r="DW748" s="1497"/>
      <c r="DX748" s="1497"/>
      <c r="DY748" s="1497"/>
      <c r="DZ748" s="1497">
        <f t="shared" si="25"/>
        <v>0</v>
      </c>
      <c r="EA748" s="1497"/>
      <c r="EB748" s="1497"/>
      <c r="EC748" s="1497"/>
      <c r="ED748" s="1497"/>
      <c r="EE748" s="1497">
        <f t="shared" si="26"/>
        <v>0</v>
      </c>
      <c r="EF748" s="1497"/>
      <c r="EG748" s="1497"/>
      <c r="EH748" s="1497"/>
      <c r="EI748" s="1497"/>
      <c r="EJ748" s="1497">
        <f t="shared" si="27"/>
        <v>0</v>
      </c>
      <c r="EK748" s="1497"/>
      <c r="EL748" s="1497"/>
      <c r="EM748" s="1497"/>
      <c r="EN748" s="1497"/>
      <c r="EO748" s="1497">
        <f t="shared" si="28"/>
        <v>0</v>
      </c>
      <c r="EP748" s="1497"/>
      <c r="EQ748" s="1497"/>
      <c r="ER748" s="1497"/>
      <c r="ES748" s="1497"/>
      <c r="ET748" s="1497">
        <f t="shared" si="29"/>
        <v>0</v>
      </c>
      <c r="EU748" s="1497"/>
      <c r="EV748" s="1497"/>
      <c r="EW748" s="1497"/>
      <c r="EX748" s="1497"/>
      <c r="EY748"/>
      <c r="EZ748" s="1523" t="str">
        <f t="shared" si="30"/>
        <v/>
      </c>
      <c r="FA748" s="1524"/>
      <c r="FB748" s="1524"/>
      <c r="FC748" s="1524"/>
      <c r="FD748" s="1525"/>
      <c r="FE748" s="1523" t="str">
        <f t="shared" si="31"/>
        <v/>
      </c>
      <c r="FF748" s="1524"/>
      <c r="FG748" s="1524"/>
      <c r="FH748" s="1524"/>
      <c r="FI748" s="1525"/>
      <c r="FJ748" s="1523" t="str">
        <f t="shared" si="32"/>
        <v/>
      </c>
      <c r="FK748" s="1524"/>
      <c r="FL748" s="1524"/>
      <c r="FM748" s="1524"/>
      <c r="FN748" s="1525"/>
      <c r="FO748" s="1523" t="str">
        <f t="shared" si="33"/>
        <v/>
      </c>
      <c r="FP748" s="1524"/>
      <c r="FQ748" s="1524"/>
      <c r="FR748" s="1524"/>
      <c r="FS748" s="1525"/>
      <c r="FT748" s="1523" t="str">
        <f t="shared" si="34"/>
        <v/>
      </c>
      <c r="FU748" s="1524"/>
      <c r="FV748" s="1524"/>
      <c r="FW748" s="1524"/>
      <c r="FX748" s="1525"/>
      <c r="FY748" s="1523" t="str">
        <f t="shared" si="35"/>
        <v/>
      </c>
      <c r="FZ748" s="1524"/>
      <c r="GA748" s="1524"/>
      <c r="GB748" s="1524"/>
      <c r="GC748" s="1525"/>
    </row>
    <row r="749" spans="1:185" s="3" customFormat="1" ht="12.95" customHeight="1">
      <c r="A749"/>
      <c r="B749" s="1394"/>
      <c r="C749" s="1395"/>
      <c r="D749" s="1395"/>
      <c r="E749" s="1395"/>
      <c r="F749" s="1396"/>
      <c r="G749" s="1398"/>
      <c r="H749" s="1399"/>
      <c r="I749" s="1399"/>
      <c r="J749" s="1400"/>
      <c r="K749" s="1390"/>
      <c r="L749" s="1391"/>
      <c r="M749" s="1391"/>
      <c r="N749" s="1392"/>
      <c r="O749" s="1383"/>
      <c r="P749" s="1384"/>
      <c r="Q749" s="1384"/>
      <c r="R749" s="1384"/>
      <c r="S749" s="1385"/>
      <c r="T749" s="1383"/>
      <c r="U749" s="1384"/>
      <c r="V749" s="1384"/>
      <c r="W749" s="1385"/>
      <c r="X749" s="1401">
        <f t="shared" si="39"/>
        <v>0</v>
      </c>
      <c r="Y749" s="1402"/>
      <c r="Z749" s="1402"/>
      <c r="AA749" s="1402"/>
      <c r="AB749" s="1403"/>
      <c r="AC749" s="1421"/>
      <c r="AD749" s="1422"/>
      <c r="AE749" s="1422"/>
      <c r="AF749" s="1422"/>
      <c r="AG749" s="1423"/>
      <c r="AH749" s="1404" t="str">
        <f t="shared" si="36"/>
        <v/>
      </c>
      <c r="AI749" s="1405"/>
      <c r="AJ749" s="1406"/>
      <c r="AK749" s="1394" t="s">
        <v>591</v>
      </c>
      <c r="AL749" s="1395"/>
      <c r="AM749" s="1395"/>
      <c r="AN749" s="1395"/>
      <c r="AO749" s="1396"/>
      <c r="AT749"/>
      <c r="AU749"/>
      <c r="AV749"/>
      <c r="AW749"/>
      <c r="AX749"/>
      <c r="AY749" s="1085"/>
      <c r="AZ749" s="118" t="str">
        <f t="shared" si="9"/>
        <v>N/A</v>
      </c>
      <c r="BA749" s="34"/>
      <c r="BB749" s="34"/>
      <c r="BC749" s="34"/>
      <c r="BD749" s="34"/>
      <c r="BE749" s="34"/>
      <c r="BF749" s="294">
        <f t="shared" si="10"/>
        <v>0</v>
      </c>
      <c r="BG749" s="297">
        <f t="shared" si="11"/>
        <v>0</v>
      </c>
      <c r="BH749" s="298" t="str">
        <f t="shared" si="12"/>
        <v/>
      </c>
      <c r="BJ749" s="34"/>
      <c r="BK749" s="34"/>
      <c r="BL749" s="34"/>
      <c r="BM749" s="34"/>
      <c r="BN749" s="34"/>
      <c r="BO749"/>
      <c r="BP749"/>
      <c r="BQ749"/>
      <c r="BR749"/>
      <c r="BS749" s="294">
        <f t="shared" si="13"/>
        <v>0</v>
      </c>
      <c r="BT749" s="297">
        <f t="shared" si="14"/>
        <v>0</v>
      </c>
      <c r="BU749" s="298" t="str">
        <f t="shared" si="15"/>
        <v/>
      </c>
      <c r="CD749"/>
      <c r="CG749" s="1523">
        <f t="shared" si="37"/>
        <v>0</v>
      </c>
      <c r="CH749" s="1525"/>
      <c r="CI749" s="1508">
        <f t="shared" si="38"/>
        <v>0</v>
      </c>
      <c r="CJ749" s="1509"/>
      <c r="CK749" s="1523">
        <f t="shared" si="16"/>
        <v>0</v>
      </c>
      <c r="CL749" s="1525"/>
      <c r="CM749" s="1508">
        <f t="shared" si="17"/>
        <v>0</v>
      </c>
      <c r="CN749" s="1509"/>
      <c r="CP749" s="1510">
        <f t="shared" si="18"/>
        <v>0</v>
      </c>
      <c r="CQ749" s="1511"/>
      <c r="CR749" s="1511"/>
      <c r="CS749" s="1511"/>
      <c r="CT749" s="1512"/>
      <c r="CU749" s="1498">
        <f t="shared" si="19"/>
        <v>0</v>
      </c>
      <c r="CV749" s="1498"/>
      <c r="CW749" s="1498"/>
      <c r="CX749" s="1498"/>
      <c r="CY749" s="1498"/>
      <c r="CZ749" s="1498">
        <f t="shared" si="20"/>
        <v>0</v>
      </c>
      <c r="DA749" s="1498"/>
      <c r="DB749" s="1498"/>
      <c r="DC749" s="1498"/>
      <c r="DD749" s="1498"/>
      <c r="DE749" s="1498">
        <f t="shared" si="21"/>
        <v>0</v>
      </c>
      <c r="DF749" s="1498"/>
      <c r="DG749" s="1498"/>
      <c r="DH749" s="1498"/>
      <c r="DI749" s="1498"/>
      <c r="DJ749" s="1498">
        <f t="shared" si="22"/>
        <v>0</v>
      </c>
      <c r="DK749" s="1498"/>
      <c r="DL749" s="1498"/>
      <c r="DM749" s="1498"/>
      <c r="DN749" s="1498"/>
      <c r="DO749" s="1498">
        <f t="shared" si="23"/>
        <v>0</v>
      </c>
      <c r="DP749" s="1498"/>
      <c r="DQ749" s="1498"/>
      <c r="DR749" s="1498"/>
      <c r="DS749" s="1498"/>
      <c r="DT749" s="6"/>
      <c r="DU749" s="1497">
        <f t="shared" si="24"/>
        <v>0</v>
      </c>
      <c r="DV749" s="1497"/>
      <c r="DW749" s="1497"/>
      <c r="DX749" s="1497"/>
      <c r="DY749" s="1497"/>
      <c r="DZ749" s="1497">
        <f t="shared" si="25"/>
        <v>0</v>
      </c>
      <c r="EA749" s="1497"/>
      <c r="EB749" s="1497"/>
      <c r="EC749" s="1497"/>
      <c r="ED749" s="1497"/>
      <c r="EE749" s="1497">
        <f t="shared" si="26"/>
        <v>0</v>
      </c>
      <c r="EF749" s="1497"/>
      <c r="EG749" s="1497"/>
      <c r="EH749" s="1497"/>
      <c r="EI749" s="1497"/>
      <c r="EJ749" s="1497">
        <f t="shared" si="27"/>
        <v>0</v>
      </c>
      <c r="EK749" s="1497"/>
      <c r="EL749" s="1497"/>
      <c r="EM749" s="1497"/>
      <c r="EN749" s="1497"/>
      <c r="EO749" s="1497">
        <f t="shared" si="28"/>
        <v>0</v>
      </c>
      <c r="EP749" s="1497"/>
      <c r="EQ749" s="1497"/>
      <c r="ER749" s="1497"/>
      <c r="ES749" s="1497"/>
      <c r="ET749" s="1497">
        <f t="shared" si="29"/>
        <v>0</v>
      </c>
      <c r="EU749" s="1497"/>
      <c r="EV749" s="1497"/>
      <c r="EW749" s="1497"/>
      <c r="EX749" s="1497"/>
      <c r="EY749"/>
      <c r="EZ749" s="1523" t="str">
        <f t="shared" si="30"/>
        <v/>
      </c>
      <c r="FA749" s="1524"/>
      <c r="FB749" s="1524"/>
      <c r="FC749" s="1524"/>
      <c r="FD749" s="1525"/>
      <c r="FE749" s="1523" t="str">
        <f t="shared" si="31"/>
        <v/>
      </c>
      <c r="FF749" s="1524"/>
      <c r="FG749" s="1524"/>
      <c r="FH749" s="1524"/>
      <c r="FI749" s="1525"/>
      <c r="FJ749" s="1523" t="str">
        <f t="shared" si="32"/>
        <v/>
      </c>
      <c r="FK749" s="1524"/>
      <c r="FL749" s="1524"/>
      <c r="FM749" s="1524"/>
      <c r="FN749" s="1525"/>
      <c r="FO749" s="1523" t="str">
        <f t="shared" si="33"/>
        <v/>
      </c>
      <c r="FP749" s="1524"/>
      <c r="FQ749" s="1524"/>
      <c r="FR749" s="1524"/>
      <c r="FS749" s="1525"/>
      <c r="FT749" s="1523" t="str">
        <f t="shared" si="34"/>
        <v/>
      </c>
      <c r="FU749" s="1524"/>
      <c r="FV749" s="1524"/>
      <c r="FW749" s="1524"/>
      <c r="FX749" s="1525"/>
      <c r="FY749" s="1523" t="str">
        <f t="shared" si="35"/>
        <v/>
      </c>
      <c r="FZ749" s="1524"/>
      <c r="GA749" s="1524"/>
      <c r="GB749" s="1524"/>
      <c r="GC749" s="1525"/>
    </row>
    <row r="750" spans="1:185" s="3" customFormat="1" ht="12.95" customHeight="1">
      <c r="A750"/>
      <c r="B750" s="1394"/>
      <c r="C750" s="1395"/>
      <c r="D750" s="1395"/>
      <c r="E750" s="1395"/>
      <c r="F750" s="1396"/>
      <c r="G750" s="1398"/>
      <c r="H750" s="1399"/>
      <c r="I750" s="1399"/>
      <c r="J750" s="1400"/>
      <c r="K750" s="1390"/>
      <c r="L750" s="1391"/>
      <c r="M750" s="1391"/>
      <c r="N750" s="1392"/>
      <c r="O750" s="1383"/>
      <c r="P750" s="1384"/>
      <c r="Q750" s="1384"/>
      <c r="R750" s="1384"/>
      <c r="S750" s="1385"/>
      <c r="T750" s="1383"/>
      <c r="U750" s="1384"/>
      <c r="V750" s="1384"/>
      <c r="W750" s="1385"/>
      <c r="X750" s="1401">
        <f t="shared" si="39"/>
        <v>0</v>
      </c>
      <c r="Y750" s="1402"/>
      <c r="Z750" s="1402"/>
      <c r="AA750" s="1402"/>
      <c r="AB750" s="1403"/>
      <c r="AC750" s="1421"/>
      <c r="AD750" s="1422"/>
      <c r="AE750" s="1422"/>
      <c r="AF750" s="1422"/>
      <c r="AG750" s="1423"/>
      <c r="AH750" s="1404" t="str">
        <f t="shared" si="36"/>
        <v/>
      </c>
      <c r="AI750" s="1405"/>
      <c r="AJ750" s="1406"/>
      <c r="AK750" s="1394" t="s">
        <v>591</v>
      </c>
      <c r="AL750" s="1395"/>
      <c r="AM750" s="1395"/>
      <c r="AN750" s="1395"/>
      <c r="AO750" s="1396"/>
      <c r="AT750"/>
      <c r="AU750"/>
      <c r="AV750"/>
      <c r="AW750"/>
      <c r="AX750"/>
      <c r="AY750"/>
      <c r="AZ750" s="118" t="str">
        <f t="shared" si="9"/>
        <v>N/A</v>
      </c>
      <c r="BA750" s="34"/>
      <c r="BB750" s="34"/>
      <c r="BC750" s="34"/>
      <c r="BD750" s="34"/>
      <c r="BE750" s="34"/>
      <c r="BF750" s="294">
        <f t="shared" si="10"/>
        <v>0</v>
      </c>
      <c r="BG750" s="297">
        <f t="shared" si="11"/>
        <v>0</v>
      </c>
      <c r="BH750" s="298" t="str">
        <f t="shared" si="12"/>
        <v/>
      </c>
      <c r="BJ750" s="34"/>
      <c r="BK750" s="34"/>
      <c r="BL750" s="34"/>
      <c r="BM750" s="34"/>
      <c r="BN750" s="34"/>
      <c r="BO750"/>
      <c r="BP750"/>
      <c r="BQ750"/>
      <c r="BR750"/>
      <c r="BS750" s="294">
        <f t="shared" si="13"/>
        <v>0</v>
      </c>
      <c r="BT750" s="297">
        <f t="shared" si="14"/>
        <v>0</v>
      </c>
      <c r="BU750" s="298" t="str">
        <f t="shared" si="15"/>
        <v/>
      </c>
      <c r="CD750"/>
      <c r="CG750" s="1523">
        <f t="shared" si="37"/>
        <v>0</v>
      </c>
      <c r="CH750" s="1525"/>
      <c r="CI750" s="1508">
        <f t="shared" si="38"/>
        <v>0</v>
      </c>
      <c r="CJ750" s="1509"/>
      <c r="CK750" s="1523">
        <f t="shared" si="16"/>
        <v>0</v>
      </c>
      <c r="CL750" s="1525"/>
      <c r="CM750" s="1508">
        <f t="shared" si="17"/>
        <v>0</v>
      </c>
      <c r="CN750" s="1509"/>
      <c r="CP750" s="1510">
        <f t="shared" si="18"/>
        <v>0</v>
      </c>
      <c r="CQ750" s="1511"/>
      <c r="CR750" s="1511"/>
      <c r="CS750" s="1511"/>
      <c r="CT750" s="1512"/>
      <c r="CU750" s="1498">
        <f t="shared" si="19"/>
        <v>0</v>
      </c>
      <c r="CV750" s="1498"/>
      <c r="CW750" s="1498"/>
      <c r="CX750" s="1498"/>
      <c r="CY750" s="1498"/>
      <c r="CZ750" s="1498">
        <f t="shared" si="20"/>
        <v>0</v>
      </c>
      <c r="DA750" s="1498"/>
      <c r="DB750" s="1498"/>
      <c r="DC750" s="1498"/>
      <c r="DD750" s="1498"/>
      <c r="DE750" s="1498">
        <f t="shared" si="21"/>
        <v>0</v>
      </c>
      <c r="DF750" s="1498"/>
      <c r="DG750" s="1498"/>
      <c r="DH750" s="1498"/>
      <c r="DI750" s="1498"/>
      <c r="DJ750" s="1498">
        <f t="shared" si="22"/>
        <v>0</v>
      </c>
      <c r="DK750" s="1498"/>
      <c r="DL750" s="1498"/>
      <c r="DM750" s="1498"/>
      <c r="DN750" s="1498"/>
      <c r="DO750" s="1498">
        <f t="shared" si="23"/>
        <v>0</v>
      </c>
      <c r="DP750" s="1498"/>
      <c r="DQ750" s="1498"/>
      <c r="DR750" s="1498"/>
      <c r="DS750" s="1498"/>
      <c r="DT750" s="6"/>
      <c r="DU750" s="1497">
        <f t="shared" si="24"/>
        <v>0</v>
      </c>
      <c r="DV750" s="1497"/>
      <c r="DW750" s="1497"/>
      <c r="DX750" s="1497"/>
      <c r="DY750" s="1497"/>
      <c r="DZ750" s="1497">
        <f t="shared" si="25"/>
        <v>0</v>
      </c>
      <c r="EA750" s="1497"/>
      <c r="EB750" s="1497"/>
      <c r="EC750" s="1497"/>
      <c r="ED750" s="1497"/>
      <c r="EE750" s="1497">
        <f t="shared" si="26"/>
        <v>0</v>
      </c>
      <c r="EF750" s="1497"/>
      <c r="EG750" s="1497"/>
      <c r="EH750" s="1497"/>
      <c r="EI750" s="1497"/>
      <c r="EJ750" s="1497">
        <f t="shared" si="27"/>
        <v>0</v>
      </c>
      <c r="EK750" s="1497"/>
      <c r="EL750" s="1497"/>
      <c r="EM750" s="1497"/>
      <c r="EN750" s="1497"/>
      <c r="EO750" s="1497">
        <f t="shared" si="28"/>
        <v>0</v>
      </c>
      <c r="EP750" s="1497"/>
      <c r="EQ750" s="1497"/>
      <c r="ER750" s="1497"/>
      <c r="ES750" s="1497"/>
      <c r="ET750" s="1497">
        <f t="shared" si="29"/>
        <v>0</v>
      </c>
      <c r="EU750" s="1497"/>
      <c r="EV750" s="1497"/>
      <c r="EW750" s="1497"/>
      <c r="EX750" s="1497"/>
      <c r="EY750"/>
      <c r="EZ750" s="1523" t="str">
        <f t="shared" si="30"/>
        <v/>
      </c>
      <c r="FA750" s="1524"/>
      <c r="FB750" s="1524"/>
      <c r="FC750" s="1524"/>
      <c r="FD750" s="1525"/>
      <c r="FE750" s="1523" t="str">
        <f t="shared" si="31"/>
        <v/>
      </c>
      <c r="FF750" s="1524"/>
      <c r="FG750" s="1524"/>
      <c r="FH750" s="1524"/>
      <c r="FI750" s="1525"/>
      <c r="FJ750" s="1523" t="str">
        <f t="shared" si="32"/>
        <v/>
      </c>
      <c r="FK750" s="1524"/>
      <c r="FL750" s="1524"/>
      <c r="FM750" s="1524"/>
      <c r="FN750" s="1525"/>
      <c r="FO750" s="1523" t="str">
        <f t="shared" si="33"/>
        <v/>
      </c>
      <c r="FP750" s="1524"/>
      <c r="FQ750" s="1524"/>
      <c r="FR750" s="1524"/>
      <c r="FS750" s="1525"/>
      <c r="FT750" s="1523" t="str">
        <f t="shared" si="34"/>
        <v/>
      </c>
      <c r="FU750" s="1524"/>
      <c r="FV750" s="1524"/>
      <c r="FW750" s="1524"/>
      <c r="FX750" s="1525"/>
      <c r="FY750" s="1523" t="str">
        <f t="shared" si="35"/>
        <v/>
      </c>
      <c r="FZ750" s="1524"/>
      <c r="GA750" s="1524"/>
      <c r="GB750" s="1524"/>
      <c r="GC750" s="1525"/>
    </row>
    <row r="751" spans="1:185" s="3" customFormat="1" ht="12.95" customHeight="1">
      <c r="A751"/>
      <c r="B751" s="1394"/>
      <c r="C751" s="1395"/>
      <c r="D751" s="1395"/>
      <c r="E751" s="1395"/>
      <c r="F751" s="1396"/>
      <c r="G751" s="1398"/>
      <c r="H751" s="1399"/>
      <c r="I751" s="1399"/>
      <c r="J751" s="1400"/>
      <c r="K751" s="1390"/>
      <c r="L751" s="1391"/>
      <c r="M751" s="1391"/>
      <c r="N751" s="1392"/>
      <c r="O751" s="1383"/>
      <c r="P751" s="1384"/>
      <c r="Q751" s="1384"/>
      <c r="R751" s="1384"/>
      <c r="S751" s="1385"/>
      <c r="T751" s="1383"/>
      <c r="U751" s="1384"/>
      <c r="V751" s="1384"/>
      <c r="W751" s="1385"/>
      <c r="X751" s="1401">
        <f t="shared" si="39"/>
        <v>0</v>
      </c>
      <c r="Y751" s="1402"/>
      <c r="Z751" s="1402"/>
      <c r="AA751" s="1402"/>
      <c r="AB751" s="1403"/>
      <c r="AC751" s="1421"/>
      <c r="AD751" s="1422"/>
      <c r="AE751" s="1422"/>
      <c r="AF751" s="1422"/>
      <c r="AG751" s="1423"/>
      <c r="AH751" s="1404" t="str">
        <f t="shared" si="36"/>
        <v/>
      </c>
      <c r="AI751" s="1405"/>
      <c r="AJ751" s="1406"/>
      <c r="AK751" s="1394" t="s">
        <v>591</v>
      </c>
      <c r="AL751" s="1395"/>
      <c r="AM751" s="1395"/>
      <c r="AN751" s="1395"/>
      <c r="AO751" s="1396"/>
      <c r="AT751"/>
      <c r="AU751"/>
      <c r="AV751"/>
      <c r="AW751"/>
      <c r="AX751"/>
      <c r="AY751"/>
      <c r="AZ751" s="118" t="str">
        <f t="shared" si="9"/>
        <v>N/A</v>
      </c>
      <c r="BA751" s="34"/>
      <c r="BB751" s="34"/>
      <c r="BC751" s="34"/>
      <c r="BD751" s="34"/>
      <c r="BE751" s="34"/>
      <c r="BF751" s="294">
        <f t="shared" si="10"/>
        <v>0</v>
      </c>
      <c r="BG751" s="297">
        <f t="shared" si="11"/>
        <v>0</v>
      </c>
      <c r="BH751" s="298" t="str">
        <f t="shared" si="12"/>
        <v/>
      </c>
      <c r="BJ751" s="34"/>
      <c r="BK751" s="34"/>
      <c r="BL751" s="34"/>
      <c r="BM751" s="34"/>
      <c r="BN751" s="34"/>
      <c r="BO751"/>
      <c r="BP751"/>
      <c r="BQ751"/>
      <c r="BR751"/>
      <c r="BS751" s="294">
        <f t="shared" si="13"/>
        <v>0</v>
      </c>
      <c r="BT751" s="297">
        <f t="shared" si="14"/>
        <v>0</v>
      </c>
      <c r="BU751" s="298" t="str">
        <f t="shared" si="15"/>
        <v/>
      </c>
      <c r="CD751"/>
      <c r="CG751" s="1523">
        <f t="shared" si="37"/>
        <v>0</v>
      </c>
      <c r="CH751" s="1525"/>
      <c r="CI751" s="1508">
        <f t="shared" si="38"/>
        <v>0</v>
      </c>
      <c r="CJ751" s="1509"/>
      <c r="CK751" s="1523">
        <f t="shared" si="16"/>
        <v>0</v>
      </c>
      <c r="CL751" s="1525"/>
      <c r="CM751" s="1508">
        <f t="shared" si="17"/>
        <v>0</v>
      </c>
      <c r="CN751" s="1509"/>
      <c r="CP751" s="1510">
        <f t="shared" si="18"/>
        <v>0</v>
      </c>
      <c r="CQ751" s="1511"/>
      <c r="CR751" s="1511"/>
      <c r="CS751" s="1511"/>
      <c r="CT751" s="1512"/>
      <c r="CU751" s="1498">
        <f t="shared" si="19"/>
        <v>0</v>
      </c>
      <c r="CV751" s="1498"/>
      <c r="CW751" s="1498"/>
      <c r="CX751" s="1498"/>
      <c r="CY751" s="1498"/>
      <c r="CZ751" s="1498">
        <f t="shared" si="20"/>
        <v>0</v>
      </c>
      <c r="DA751" s="1498"/>
      <c r="DB751" s="1498"/>
      <c r="DC751" s="1498"/>
      <c r="DD751" s="1498"/>
      <c r="DE751" s="1498">
        <f t="shared" si="21"/>
        <v>0</v>
      </c>
      <c r="DF751" s="1498"/>
      <c r="DG751" s="1498"/>
      <c r="DH751" s="1498"/>
      <c r="DI751" s="1498"/>
      <c r="DJ751" s="1498">
        <f t="shared" si="22"/>
        <v>0</v>
      </c>
      <c r="DK751" s="1498"/>
      <c r="DL751" s="1498"/>
      <c r="DM751" s="1498"/>
      <c r="DN751" s="1498"/>
      <c r="DO751" s="1498">
        <f t="shared" si="23"/>
        <v>0</v>
      </c>
      <c r="DP751" s="1498"/>
      <c r="DQ751" s="1498"/>
      <c r="DR751" s="1498"/>
      <c r="DS751" s="1498"/>
      <c r="DT751" s="6"/>
      <c r="DU751" s="1497">
        <f t="shared" si="24"/>
        <v>0</v>
      </c>
      <c r="DV751" s="1497"/>
      <c r="DW751" s="1497"/>
      <c r="DX751" s="1497"/>
      <c r="DY751" s="1497"/>
      <c r="DZ751" s="1497">
        <f t="shared" si="25"/>
        <v>0</v>
      </c>
      <c r="EA751" s="1497"/>
      <c r="EB751" s="1497"/>
      <c r="EC751" s="1497"/>
      <c r="ED751" s="1497"/>
      <c r="EE751" s="1497">
        <f t="shared" si="26"/>
        <v>0</v>
      </c>
      <c r="EF751" s="1497"/>
      <c r="EG751" s="1497"/>
      <c r="EH751" s="1497"/>
      <c r="EI751" s="1497"/>
      <c r="EJ751" s="1497">
        <f t="shared" si="27"/>
        <v>0</v>
      </c>
      <c r="EK751" s="1497"/>
      <c r="EL751" s="1497"/>
      <c r="EM751" s="1497"/>
      <c r="EN751" s="1497"/>
      <c r="EO751" s="1497">
        <f t="shared" si="28"/>
        <v>0</v>
      </c>
      <c r="EP751" s="1497"/>
      <c r="EQ751" s="1497"/>
      <c r="ER751" s="1497"/>
      <c r="ES751" s="1497"/>
      <c r="ET751" s="1497">
        <f t="shared" si="29"/>
        <v>0</v>
      </c>
      <c r="EU751" s="1497"/>
      <c r="EV751" s="1497"/>
      <c r="EW751" s="1497"/>
      <c r="EX751" s="1497"/>
      <c r="EY751"/>
      <c r="EZ751" s="1523" t="str">
        <f t="shared" si="30"/>
        <v/>
      </c>
      <c r="FA751" s="1524"/>
      <c r="FB751" s="1524"/>
      <c r="FC751" s="1524"/>
      <c r="FD751" s="1525"/>
      <c r="FE751" s="1523" t="str">
        <f t="shared" si="31"/>
        <v/>
      </c>
      <c r="FF751" s="1524"/>
      <c r="FG751" s="1524"/>
      <c r="FH751" s="1524"/>
      <c r="FI751" s="1525"/>
      <c r="FJ751" s="1523" t="str">
        <f t="shared" si="32"/>
        <v/>
      </c>
      <c r="FK751" s="1524"/>
      <c r="FL751" s="1524"/>
      <c r="FM751" s="1524"/>
      <c r="FN751" s="1525"/>
      <c r="FO751" s="1523" t="str">
        <f t="shared" si="33"/>
        <v/>
      </c>
      <c r="FP751" s="1524"/>
      <c r="FQ751" s="1524"/>
      <c r="FR751" s="1524"/>
      <c r="FS751" s="1525"/>
      <c r="FT751" s="1523" t="str">
        <f t="shared" si="34"/>
        <v/>
      </c>
      <c r="FU751" s="1524"/>
      <c r="FV751" s="1524"/>
      <c r="FW751" s="1524"/>
      <c r="FX751" s="1525"/>
      <c r="FY751" s="1523" t="str">
        <f t="shared" si="35"/>
        <v/>
      </c>
      <c r="FZ751" s="1524"/>
      <c r="GA751" s="1524"/>
      <c r="GB751" s="1524"/>
      <c r="GC751" s="1525"/>
    </row>
    <row r="752" spans="1:185" s="3" customFormat="1" ht="12.95" customHeight="1">
      <c r="A752"/>
      <c r="B752" s="1394"/>
      <c r="C752" s="1395"/>
      <c r="D752" s="1395"/>
      <c r="E752" s="1395"/>
      <c r="F752" s="1396"/>
      <c r="G752" s="1398"/>
      <c r="H752" s="1399"/>
      <c r="I752" s="1399"/>
      <c r="J752" s="1400"/>
      <c r="K752" s="1390"/>
      <c r="L752" s="1391"/>
      <c r="M752" s="1391"/>
      <c r="N752" s="1392"/>
      <c r="O752" s="1383"/>
      <c r="P752" s="1384"/>
      <c r="Q752" s="1384"/>
      <c r="R752" s="1384"/>
      <c r="S752" s="1385"/>
      <c r="T752" s="1383"/>
      <c r="U752" s="1384"/>
      <c r="V752" s="1384"/>
      <c r="W752" s="1385"/>
      <c r="X752" s="1401">
        <f>O752+T752</f>
        <v>0</v>
      </c>
      <c r="Y752" s="1402"/>
      <c r="Z752" s="1402"/>
      <c r="AA752" s="1402"/>
      <c r="AB752" s="1403"/>
      <c r="AC752" s="1421"/>
      <c r="AD752" s="1422"/>
      <c r="AE752" s="1422"/>
      <c r="AF752" s="1422"/>
      <c r="AG752" s="1423"/>
      <c r="AH752" s="1404" t="str">
        <f t="shared" si="36"/>
        <v/>
      </c>
      <c r="AI752" s="1405"/>
      <c r="AJ752" s="1406"/>
      <c r="AK752" s="1394" t="s">
        <v>591</v>
      </c>
      <c r="AL752" s="1395"/>
      <c r="AM752" s="1395"/>
      <c r="AN752" s="1395"/>
      <c r="AO752" s="1396"/>
      <c r="AT752"/>
      <c r="AU752"/>
      <c r="AV752"/>
      <c r="AW752"/>
      <c r="AX752"/>
      <c r="AY752"/>
      <c r="AZ752" s="118" t="str">
        <f t="shared" si="9"/>
        <v>N/A</v>
      </c>
      <c r="BA752" s="34"/>
      <c r="BB752" s="34"/>
      <c r="BC752" s="34"/>
      <c r="BE752"/>
      <c r="BF752" s="294">
        <f t="shared" si="10"/>
        <v>0</v>
      </c>
      <c r="BG752" s="297">
        <f t="shared" si="11"/>
        <v>0</v>
      </c>
      <c r="BH752" s="298" t="str">
        <f t="shared" si="12"/>
        <v/>
      </c>
      <c r="BJ752" s="34"/>
      <c r="BK752" s="34"/>
      <c r="BL752" s="34"/>
      <c r="BM752" s="34"/>
      <c r="BN752" s="34"/>
      <c r="BO752"/>
      <c r="BP752"/>
      <c r="BQ752"/>
      <c r="BR752"/>
      <c r="BS752" s="860">
        <f t="shared" si="13"/>
        <v>0</v>
      </c>
      <c r="BT752" s="297">
        <f t="shared" si="14"/>
        <v>0</v>
      </c>
      <c r="BU752" s="298" t="str">
        <f t="shared" si="15"/>
        <v/>
      </c>
      <c r="CD752"/>
      <c r="CG752" s="1523">
        <f t="shared" si="37"/>
        <v>0</v>
      </c>
      <c r="CH752" s="1525"/>
      <c r="CI752" s="1508">
        <f t="shared" si="38"/>
        <v>0</v>
      </c>
      <c r="CJ752" s="1509"/>
      <c r="CK752" s="1523">
        <f t="shared" si="16"/>
        <v>0</v>
      </c>
      <c r="CL752" s="1525"/>
      <c r="CM752" s="1508">
        <f t="shared" si="17"/>
        <v>0</v>
      </c>
      <c r="CN752" s="1509"/>
      <c r="CP752" s="1510">
        <f t="shared" si="18"/>
        <v>0</v>
      </c>
      <c r="CQ752" s="1511"/>
      <c r="CR752" s="1511"/>
      <c r="CS752" s="1511"/>
      <c r="CT752" s="1512"/>
      <c r="CU752" s="1498">
        <f t="shared" si="19"/>
        <v>0</v>
      </c>
      <c r="CV752" s="1498"/>
      <c r="CW752" s="1498"/>
      <c r="CX752" s="1498"/>
      <c r="CY752" s="1498"/>
      <c r="CZ752" s="1498">
        <f t="shared" si="20"/>
        <v>0</v>
      </c>
      <c r="DA752" s="1498"/>
      <c r="DB752" s="1498"/>
      <c r="DC752" s="1498"/>
      <c r="DD752" s="1498"/>
      <c r="DE752" s="1498">
        <f t="shared" si="21"/>
        <v>0</v>
      </c>
      <c r="DF752" s="1498"/>
      <c r="DG752" s="1498"/>
      <c r="DH752" s="1498"/>
      <c r="DI752" s="1498"/>
      <c r="DJ752" s="1498">
        <f t="shared" si="22"/>
        <v>0</v>
      </c>
      <c r="DK752" s="1498"/>
      <c r="DL752" s="1498"/>
      <c r="DM752" s="1498"/>
      <c r="DN752" s="1498"/>
      <c r="DO752" s="1498">
        <f t="shared" si="23"/>
        <v>0</v>
      </c>
      <c r="DP752" s="1498"/>
      <c r="DQ752" s="1498"/>
      <c r="DR752" s="1498"/>
      <c r="DS752" s="1498"/>
      <c r="DT752" s="6"/>
      <c r="DU752" s="1497">
        <f t="shared" si="24"/>
        <v>0</v>
      </c>
      <c r="DV752" s="1497"/>
      <c r="DW752" s="1497"/>
      <c r="DX752" s="1497"/>
      <c r="DY752" s="1497"/>
      <c r="DZ752" s="1497">
        <f t="shared" si="25"/>
        <v>0</v>
      </c>
      <c r="EA752" s="1497"/>
      <c r="EB752" s="1497"/>
      <c r="EC752" s="1497"/>
      <c r="ED752" s="1497"/>
      <c r="EE752" s="1497">
        <f t="shared" si="26"/>
        <v>0</v>
      </c>
      <c r="EF752" s="1497"/>
      <c r="EG752" s="1497"/>
      <c r="EH752" s="1497"/>
      <c r="EI752" s="1497"/>
      <c r="EJ752" s="1497">
        <f t="shared" si="27"/>
        <v>0</v>
      </c>
      <c r="EK752" s="1497"/>
      <c r="EL752" s="1497"/>
      <c r="EM752" s="1497"/>
      <c r="EN752" s="1497"/>
      <c r="EO752" s="1497">
        <f t="shared" si="28"/>
        <v>0</v>
      </c>
      <c r="EP752" s="1497"/>
      <c r="EQ752" s="1497"/>
      <c r="ER752" s="1497"/>
      <c r="ES752" s="1497"/>
      <c r="ET752" s="1497">
        <f t="shared" si="29"/>
        <v>0</v>
      </c>
      <c r="EU752" s="1497"/>
      <c r="EV752" s="1497"/>
      <c r="EW752" s="1497"/>
      <c r="EX752" s="1497"/>
      <c r="EY752"/>
      <c r="EZ752" s="1523" t="str">
        <f t="shared" si="30"/>
        <v/>
      </c>
      <c r="FA752" s="1524"/>
      <c r="FB752" s="1524"/>
      <c r="FC752" s="1524"/>
      <c r="FD752" s="1525"/>
      <c r="FE752" s="1523" t="str">
        <f t="shared" si="31"/>
        <v/>
      </c>
      <c r="FF752" s="1524"/>
      <c r="FG752" s="1524"/>
      <c r="FH752" s="1524"/>
      <c r="FI752" s="1525"/>
      <c r="FJ752" s="1523" t="str">
        <f t="shared" si="32"/>
        <v/>
      </c>
      <c r="FK752" s="1524"/>
      <c r="FL752" s="1524"/>
      <c r="FM752" s="1524"/>
      <c r="FN752" s="1525"/>
      <c r="FO752" s="1523" t="str">
        <f t="shared" si="33"/>
        <v/>
      </c>
      <c r="FP752" s="1524"/>
      <c r="FQ752" s="1524"/>
      <c r="FR752" s="1524"/>
      <c r="FS752" s="1525"/>
      <c r="FT752" s="1523" t="str">
        <f t="shared" si="34"/>
        <v/>
      </c>
      <c r="FU752" s="1524"/>
      <c r="FV752" s="1524"/>
      <c r="FW752" s="1524"/>
      <c r="FX752" s="1525"/>
      <c r="FY752" s="1523" t="str">
        <f t="shared" si="35"/>
        <v/>
      </c>
      <c r="FZ752" s="1524"/>
      <c r="GA752" s="1524"/>
      <c r="GB752" s="1524"/>
      <c r="GC752" s="1525"/>
    </row>
    <row r="753" spans="1:185" s="3" customFormat="1" ht="12.95" customHeight="1">
      <c r="A753"/>
      <c r="B753" s="1502" t="s">
        <v>125</v>
      </c>
      <c r="C753" s="1503"/>
      <c r="D753" s="1503"/>
      <c r="E753" s="1503"/>
      <c r="F753" s="1504"/>
      <c r="G753" s="1615">
        <f>SUM(G718:G752)</f>
        <v>269</v>
      </c>
      <c r="H753" s="1616"/>
      <c r="I753" s="1616"/>
      <c r="J753" s="1617"/>
      <c r="K753" s="902" t="s">
        <v>124</v>
      </c>
      <c r="L753" s="5"/>
      <c r="M753" s="5"/>
      <c r="N753" s="46"/>
      <c r="O753" s="1401">
        <f>SUMPRODUCT(G718:G752,O718:O752)</f>
        <v>496886</v>
      </c>
      <c r="P753" s="1402"/>
      <c r="Q753" s="1402"/>
      <c r="R753" s="1402"/>
      <c r="S753" s="1403"/>
      <c r="T753"/>
      <c r="U753"/>
      <c r="V753"/>
      <c r="W753"/>
      <c r="X753" s="904" t="s">
        <v>900</v>
      </c>
      <c r="Y753" s="903"/>
      <c r="Z753" s="903"/>
      <c r="AA753" s="903"/>
      <c r="AB753" s="905"/>
      <c r="AC753" s="1618">
        <f>BH753</f>
        <v>0.58141263940520438</v>
      </c>
      <c r="AD753" s="1619"/>
      <c r="AE753" s="1619"/>
      <c r="AF753" s="1619"/>
      <c r="AG753" s="1620"/>
      <c r="AH753" s="1618">
        <f>IFERROR(BU753,"")</f>
        <v>0.58143170892214024</v>
      </c>
      <c r="AI753" s="1619"/>
      <c r="AJ753" s="1620"/>
      <c r="AK753"/>
      <c r="AL753"/>
      <c r="AM753"/>
      <c r="AN753"/>
      <c r="AO753"/>
      <c r="AP753" s="205"/>
      <c r="AQ753" s="205"/>
      <c r="AR753" s="205"/>
      <c r="AS753" s="205"/>
      <c r="AT753"/>
      <c r="AU753"/>
      <c r="AV753"/>
      <c r="AW753"/>
      <c r="AX753"/>
      <c r="AY753"/>
      <c r="AZ753" s="34"/>
      <c r="BA753" s="34"/>
      <c r="BB753" s="34"/>
      <c r="BC753" s="34"/>
      <c r="BE753" s="290" t="s">
        <v>899</v>
      </c>
      <c r="BF753" s="299">
        <f>SUM(BF718:BF752)</f>
        <v>269</v>
      </c>
      <c r="BG753" s="300">
        <f>SUM(BG718:BG752)</f>
        <v>1</v>
      </c>
      <c r="BH753" s="300">
        <f>SUM(BH718:BH752)</f>
        <v>0.58141263940520438</v>
      </c>
      <c r="BI753"/>
      <c r="BJ753"/>
      <c r="BK753"/>
      <c r="BL753"/>
      <c r="BO753"/>
      <c r="BP753"/>
      <c r="BQ753"/>
      <c r="BR753"/>
      <c r="BS753" s="859">
        <f>SUM(BS718:BS752)</f>
        <v>269</v>
      </c>
      <c r="BT753" s="300">
        <f>SUM(BT718:BT752)</f>
        <v>1</v>
      </c>
      <c r="BU753" s="300">
        <f>SUM(BU718:BU752)</f>
        <v>0.58143170892214024</v>
      </c>
      <c r="CI753" s="1523">
        <f>SUM(CI718:CJ752)</f>
        <v>28</v>
      </c>
      <c r="CJ753" s="1525"/>
      <c r="CM753" s="1523">
        <f>SUM(CM718:CN752)</f>
        <v>28</v>
      </c>
      <c r="CN753" s="1525"/>
      <c r="CP753" s="1523">
        <f>SUM(CP718:CT752)</f>
        <v>74</v>
      </c>
      <c r="CQ753" s="1524"/>
      <c r="CR753" s="1524"/>
      <c r="CS753" s="1524"/>
      <c r="CT753" s="1525"/>
      <c r="CU753" s="1507">
        <f>SUM(CU718:CY752)</f>
        <v>159</v>
      </c>
      <c r="CV753" s="1507"/>
      <c r="CW753" s="1507"/>
      <c r="CX753" s="1507"/>
      <c r="CY753" s="1507"/>
      <c r="CZ753" s="1507">
        <f>SUM(CZ718:DD752)</f>
        <v>22</v>
      </c>
      <c r="DA753" s="1507"/>
      <c r="DB753" s="1507"/>
      <c r="DC753" s="1507"/>
      <c r="DD753" s="1507"/>
      <c r="DE753" s="1507">
        <f>SUM(DE718:DI752)</f>
        <v>14</v>
      </c>
      <c r="DF753" s="1507"/>
      <c r="DG753" s="1507"/>
      <c r="DH753" s="1507"/>
      <c r="DI753" s="1507"/>
      <c r="DJ753" s="1507">
        <f>SUM(DJ718:DN752)</f>
        <v>0</v>
      </c>
      <c r="DK753" s="1507"/>
      <c r="DL753" s="1507"/>
      <c r="DM753" s="1507"/>
      <c r="DN753" s="1507"/>
      <c r="DO753" s="1507">
        <f>SUM(DO718:DS752)</f>
        <v>0</v>
      </c>
      <c r="DP753" s="1507"/>
      <c r="DQ753" s="1507"/>
      <c r="DR753" s="1507"/>
      <c r="DS753" s="1507"/>
      <c r="DT753" s="354"/>
      <c r="DU753" s="1507">
        <f>SUM(DU718:DY752)</f>
        <v>28</v>
      </c>
      <c r="DV753" s="1507"/>
      <c r="DW753" s="1507"/>
      <c r="DX753" s="1507"/>
      <c r="DY753" s="1507"/>
      <c r="DZ753" s="1507">
        <f>SUM(DZ718:ED752)</f>
        <v>0</v>
      </c>
      <c r="EA753" s="1507"/>
      <c r="EB753" s="1507"/>
      <c r="EC753" s="1507"/>
      <c r="ED753" s="1507"/>
      <c r="EE753" s="1507">
        <f>SUM(EE718:EI752)</f>
        <v>0</v>
      </c>
      <c r="EF753" s="1507"/>
      <c r="EG753" s="1507"/>
      <c r="EH753" s="1507"/>
      <c r="EI753" s="1507"/>
      <c r="EJ753" s="1507">
        <f>SUM(EJ718:EN752)</f>
        <v>0</v>
      </c>
      <c r="EK753" s="1507"/>
      <c r="EL753" s="1507"/>
      <c r="EM753" s="1507"/>
      <c r="EN753" s="1507"/>
      <c r="EO753" s="1507">
        <f>SUM(EO718:ES752)</f>
        <v>0</v>
      </c>
      <c r="EP753" s="1507"/>
      <c r="EQ753" s="1507"/>
      <c r="ER753" s="1507"/>
      <c r="ES753" s="1507"/>
      <c r="ET753" s="1507">
        <f>SUM(ET718:EX752)</f>
        <v>0</v>
      </c>
      <c r="EU753" s="1507"/>
      <c r="EV753" s="1507"/>
      <c r="EW753" s="1507"/>
      <c r="EX753" s="1507"/>
      <c r="EY753"/>
      <c r="EZ753" s="1507">
        <f>SUM(EZ718:FD752)</f>
        <v>4052</v>
      </c>
      <c r="FA753" s="1507"/>
      <c r="FB753" s="1507"/>
      <c r="FC753" s="1507"/>
      <c r="FD753" s="1507"/>
      <c r="FE753" s="1507">
        <f>SUM(FE718:FI752)</f>
        <v>5580</v>
      </c>
      <c r="FF753" s="1507"/>
      <c r="FG753" s="1507"/>
      <c r="FH753" s="1507"/>
      <c r="FI753" s="1507"/>
      <c r="FJ753" s="1507">
        <f>SUM(FJ718:FN752)</f>
        <v>4094</v>
      </c>
      <c r="FK753" s="1507"/>
      <c r="FL753" s="1507"/>
      <c r="FM753" s="1507"/>
      <c r="FN753" s="1507"/>
      <c r="FO753" s="1507">
        <f>SUM(FO718:FS752)</f>
        <v>5160</v>
      </c>
      <c r="FP753" s="1507"/>
      <c r="FQ753" s="1507"/>
      <c r="FR753" s="1507"/>
      <c r="FS753" s="1507"/>
      <c r="FT753" s="1507">
        <f>SUM(FT718:FX752)</f>
        <v>0</v>
      </c>
      <c r="FU753" s="1507"/>
      <c r="FV753" s="1507"/>
      <c r="FW753" s="1507"/>
      <c r="FX753" s="1507"/>
      <c r="FY753" s="1507">
        <f>SUM(FY718:GC752)</f>
        <v>0</v>
      </c>
      <c r="FZ753" s="1507"/>
      <c r="GA753" s="1507"/>
      <c r="GB753" s="1507"/>
      <c r="GC753" s="1507"/>
    </row>
    <row r="754" spans="1:185" s="3" customFormat="1" ht="12.95" customHeight="1">
      <c r="A754"/>
      <c r="B754" s="1622" t="s">
        <v>1893</v>
      </c>
      <c r="C754" s="1622"/>
      <c r="D754" s="1622"/>
      <c r="E754" s="1622"/>
      <c r="F754" s="1622"/>
      <c r="G754" s="1622"/>
      <c r="H754" s="1622"/>
      <c r="I754" s="1622"/>
      <c r="J754" s="1622"/>
      <c r="K754" s="1622"/>
      <c r="L754" s="1622"/>
      <c r="M754" s="1622"/>
      <c r="N754" s="1622"/>
      <c r="O754" s="1622"/>
      <c r="P754" s="1622"/>
      <c r="Q754" s="1622"/>
      <c r="R754" s="1622"/>
      <c r="S754" s="1622"/>
      <c r="T754" s="1622"/>
      <c r="U754" s="1622"/>
      <c r="V754" s="1622"/>
      <c r="W754" s="1622"/>
      <c r="X754" s="1622"/>
      <c r="Y754" s="1622"/>
      <c r="Z754" s="1622"/>
      <c r="AA754" s="1622"/>
      <c r="AB754" s="1622"/>
      <c r="AC754" s="1622"/>
      <c r="AD754" s="1622"/>
      <c r="AE754" s="1622"/>
      <c r="AF754" s="1622"/>
      <c r="AG754" s="1622"/>
      <c r="AH754" s="1622"/>
      <c r="AI754"/>
      <c r="AJ754"/>
      <c r="AK754"/>
      <c r="AT754"/>
      <c r="AU754"/>
      <c r="AV754"/>
      <c r="AW754"/>
      <c r="AX754"/>
      <c r="AY754"/>
      <c r="CD754"/>
      <c r="DN754" s="56" t="s">
        <v>1860</v>
      </c>
      <c r="DO754" s="1523">
        <f>CP753+CU753+CZ753+DE753+DJ753+DO753</f>
        <v>269</v>
      </c>
      <c r="DP754" s="1524"/>
      <c r="DQ754" s="1524"/>
      <c r="DR754" s="1524"/>
      <c r="DS754" s="1525"/>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622"/>
      <c r="C755" s="1622"/>
      <c r="D755" s="1622"/>
      <c r="E755" s="1622"/>
      <c r="F755" s="1622"/>
      <c r="G755" s="1622"/>
      <c r="H755" s="1622"/>
      <c r="I755" s="1622"/>
      <c r="J755" s="1622"/>
      <c r="K755" s="1622"/>
      <c r="L755" s="1622"/>
      <c r="M755" s="1622"/>
      <c r="N755" s="1622"/>
      <c r="O755" s="1622"/>
      <c r="P755" s="1622"/>
      <c r="Q755" s="1622"/>
      <c r="R755" s="1622"/>
      <c r="S755" s="1622"/>
      <c r="T755" s="1622"/>
      <c r="U755" s="1622"/>
      <c r="V755" s="1622"/>
      <c r="W755" s="1622"/>
      <c r="X755" s="1622"/>
      <c r="Y755" s="1622"/>
      <c r="Z755" s="1622"/>
      <c r="AA755" s="1622"/>
      <c r="AB755" s="1622"/>
      <c r="AC755" s="1622"/>
      <c r="AD755" s="1622"/>
      <c r="AE755" s="1622"/>
      <c r="AF755" s="1622"/>
      <c r="AG755" s="1622"/>
      <c r="AH755" s="1622"/>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74</v>
      </c>
      <c r="CU755" s="3"/>
      <c r="CV755" s="3"/>
      <c r="CW755" s="3"/>
      <c r="CX755" s="3"/>
      <c r="CY755" s="861">
        <f>CU753*1</f>
        <v>159</v>
      </c>
      <c r="CZ755" s="3"/>
      <c r="DA755" s="3"/>
      <c r="DB755" s="3"/>
      <c r="DC755" s="3"/>
      <c r="DD755" s="861">
        <f>CZ753*2</f>
        <v>44</v>
      </c>
      <c r="DE755" s="3"/>
      <c r="DF755" s="3"/>
      <c r="DG755" s="3"/>
      <c r="DH755" s="3"/>
      <c r="DI755" s="861">
        <f>DE753*3</f>
        <v>42</v>
      </c>
      <c r="DJ755" s="3"/>
      <c r="DK755" s="3"/>
      <c r="DL755" s="3"/>
      <c r="DM755" s="3"/>
      <c r="DN755" s="861">
        <f>DJ753*4</f>
        <v>0</v>
      </c>
      <c r="DO755" s="3"/>
      <c r="DP755" s="3"/>
      <c r="DQ755" s="3"/>
      <c r="DR755" s="3"/>
      <c r="DS755" s="861">
        <f>DO753*5</f>
        <v>0</v>
      </c>
      <c r="DU755" s="861">
        <f>CT755+CY755+DD755+DI755+DN755+DS755</f>
        <v>319</v>
      </c>
      <c r="DV755" s="57" t="s">
        <v>1862</v>
      </c>
      <c r="DW755" s="3"/>
      <c r="DX755" s="3"/>
      <c r="DY755" s="3"/>
      <c r="DZ755" s="3"/>
      <c r="EA755" s="3"/>
      <c r="EB755" s="3"/>
      <c r="EC755" s="3"/>
      <c r="ED755" s="3"/>
      <c r="EE755" s="3"/>
      <c r="EF755" s="3"/>
      <c r="EG755" s="3"/>
      <c r="EH755" s="3"/>
    </row>
    <row r="756" spans="1:185" ht="12.95" customHeight="1">
      <c r="A756" s="3"/>
      <c r="B756" s="3"/>
      <c r="C756" s="118" t="s">
        <v>1891</v>
      </c>
      <c r="D756" s="1032"/>
      <c r="E756" s="1032"/>
      <c r="F756" s="1032"/>
      <c r="G756" s="1033"/>
      <c r="H756" s="1033"/>
      <c r="I756" s="1033"/>
      <c r="J756" s="1033"/>
      <c r="K756" s="1032"/>
      <c r="L756" s="1032"/>
      <c r="M756" s="1032"/>
      <c r="N756" s="1032"/>
      <c r="O756" s="1507">
        <f>DU755</f>
        <v>319</v>
      </c>
      <c r="P756" s="1507"/>
      <c r="Q756" s="1507"/>
      <c r="R756" s="1507"/>
      <c r="S756" s="969"/>
      <c r="T756" s="969"/>
      <c r="U756" s="118" t="s">
        <v>1892</v>
      </c>
      <c r="V756" s="1032"/>
      <c r="W756" s="1032"/>
      <c r="X756" s="1032"/>
      <c r="Y756" s="1033"/>
      <c r="Z756" s="1033"/>
      <c r="AA756" s="1033"/>
      <c r="AB756" s="1033"/>
      <c r="AC756" s="1032"/>
      <c r="AD756" s="1032"/>
      <c r="AE756" s="1032"/>
      <c r="AF756" s="1032"/>
      <c r="AG756" s="1584">
        <v>0</v>
      </c>
      <c r="AH756" s="1584"/>
      <c r="AI756" s="1584"/>
      <c r="AJ756" s="1584"/>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2.95" customHeight="1">
      <c r="B757" s="57"/>
      <c r="C757" s="1446" t="str">
        <f>IF(G753&lt;&gt;AG440,"! Total Low-Income Units in the Unit Mix Table above does not match the number of Total Low-Income Units on row #"&amp;TEXT(ROW(D440),"#"),"")</f>
        <v/>
      </c>
      <c r="D757" s="1446"/>
      <c r="E757" s="1446"/>
      <c r="F757" s="1446"/>
      <c r="G757" s="1446"/>
      <c r="H757" s="1446"/>
      <c r="I757" s="1446"/>
      <c r="J757" s="1446"/>
      <c r="K757" s="1446"/>
      <c r="L757" s="1446"/>
      <c r="M757" s="1446"/>
      <c r="N757" s="1446"/>
      <c r="O757" s="1446"/>
      <c r="P757" s="1446"/>
      <c r="Q757" s="1446"/>
      <c r="R757" s="1446"/>
      <c r="S757" s="1446"/>
      <c r="T757" s="1446"/>
      <c r="U757" s="1446"/>
      <c r="V757" s="1446"/>
      <c r="W757" s="1446"/>
      <c r="X757" s="1446"/>
      <c r="Y757" s="1446"/>
      <c r="Z757" s="1446"/>
      <c r="AA757" s="1446"/>
      <c r="AB757" s="1446"/>
      <c r="AC757" s="1446"/>
      <c r="AD757" s="1446"/>
      <c r="AE757" s="1446"/>
      <c r="AF757" s="1446"/>
      <c r="AG757" s="1446"/>
      <c r="AH757" s="1446"/>
      <c r="AI757" s="1446"/>
      <c r="AJ757" s="1446"/>
      <c r="AK757" s="1446"/>
      <c r="AL757" s="1446"/>
      <c r="AM757" s="1446"/>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5" customHeight="1">
      <c r="B758" s="57"/>
      <c r="C758" s="1446"/>
      <c r="D758" s="1446"/>
      <c r="E758" s="1446"/>
      <c r="F758" s="1446"/>
      <c r="G758" s="1446"/>
      <c r="H758" s="1446"/>
      <c r="I758" s="1446"/>
      <c r="J758" s="1446"/>
      <c r="K758" s="1446"/>
      <c r="L758" s="1446"/>
      <c r="M758" s="1446"/>
      <c r="N758" s="1446"/>
      <c r="O758" s="1446"/>
      <c r="P758" s="1446"/>
      <c r="Q758" s="1446"/>
      <c r="R758" s="1446"/>
      <c r="S758" s="1446"/>
      <c r="T758" s="1446"/>
      <c r="U758" s="1446"/>
      <c r="V758" s="1446"/>
      <c r="W758" s="1446"/>
      <c r="X758" s="1446"/>
      <c r="Y758" s="1446"/>
      <c r="Z758" s="1446"/>
      <c r="AA758" s="1446"/>
      <c r="AB758" s="1446"/>
      <c r="AC758" s="1446"/>
      <c r="AD758" s="1446"/>
      <c r="AE758" s="1446"/>
      <c r="AF758" s="1446"/>
      <c r="AG758" s="1446"/>
      <c r="AH758" s="1446"/>
      <c r="AI758" s="1446"/>
      <c r="AJ758" s="1446"/>
      <c r="AK758" s="1446"/>
      <c r="AL758" s="1446"/>
      <c r="AM758" s="1446"/>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5" customHeight="1">
      <c r="B759" s="3"/>
      <c r="C759" s="118" t="s">
        <v>1890</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650" t="s">
        <v>591</v>
      </c>
      <c r="AE759" s="1650"/>
      <c r="AF759" s="1650"/>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5" customHeight="1">
      <c r="C760" s="1035" t="s">
        <v>2088</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5" customHeight="1">
      <c r="A761" s="2" t="s">
        <v>576</v>
      </c>
      <c r="B761" s="56"/>
      <c r="C761" s="57" t="s">
        <v>423</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5" customHeight="1">
      <c r="A762" s="3"/>
      <c r="B762" s="1032"/>
      <c r="C762" s="118" t="s">
        <v>176</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5" customHeight="1">
      <c r="A763" s="3"/>
      <c r="B763" s="1032"/>
      <c r="C763" s="1268" t="s">
        <v>2089</v>
      </c>
      <c r="D763" s="1268"/>
      <c r="E763" s="1268"/>
      <c r="F763" s="1268"/>
      <c r="G763" s="1268"/>
      <c r="H763" s="1268"/>
      <c r="I763" s="1268"/>
      <c r="J763" s="1268"/>
      <c r="K763" s="1268"/>
      <c r="L763" s="1268"/>
      <c r="M763" s="1268"/>
      <c r="N763" s="1268"/>
      <c r="O763" s="1268"/>
      <c r="P763" s="1268"/>
      <c r="Q763" s="1268"/>
      <c r="R763" s="1268"/>
      <c r="S763" s="1268"/>
      <c r="T763" s="1268"/>
      <c r="U763" s="1268"/>
      <c r="V763" s="1268"/>
      <c r="W763" s="1268"/>
      <c r="X763" s="1268"/>
      <c r="Y763" s="1268"/>
      <c r="Z763" s="1268"/>
      <c r="AA763" s="1268"/>
      <c r="AB763" s="1268"/>
      <c r="AC763" s="1268"/>
      <c r="AD763" s="1268"/>
      <c r="AE763" s="1268"/>
      <c r="AF763" s="1268"/>
      <c r="AG763" s="1268"/>
      <c r="AH763" s="1268"/>
      <c r="AI763" s="1268"/>
      <c r="AJ763" s="1268"/>
      <c r="AK763" s="1268"/>
      <c r="AL763" s="1268"/>
      <c r="AM763" s="1268"/>
      <c r="AN763" s="1268"/>
      <c r="AO763" s="1268"/>
      <c r="AP763" s="1268"/>
      <c r="AQ763" s="1268"/>
      <c r="AR763" s="1268"/>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5" customHeight="1">
      <c r="A764" s="3"/>
      <c r="B764" s="1032"/>
      <c r="C764" s="1268"/>
      <c r="D764" s="1268"/>
      <c r="E764" s="1268"/>
      <c r="F764" s="1268"/>
      <c r="G764" s="1268"/>
      <c r="H764" s="1268"/>
      <c r="I764" s="1268"/>
      <c r="J764" s="1268"/>
      <c r="K764" s="1268"/>
      <c r="L764" s="1268"/>
      <c r="M764" s="1268"/>
      <c r="N764" s="1268"/>
      <c r="O764" s="1268"/>
      <c r="P764" s="1268"/>
      <c r="Q764" s="1268"/>
      <c r="R764" s="1268"/>
      <c r="S764" s="1268"/>
      <c r="T764" s="1268"/>
      <c r="U764" s="1268"/>
      <c r="V764" s="1268"/>
      <c r="W764" s="1268"/>
      <c r="X764" s="1268"/>
      <c r="Y764" s="1268"/>
      <c r="Z764" s="1268"/>
      <c r="AA764" s="1268"/>
      <c r="AB764" s="1268"/>
      <c r="AC764" s="1268"/>
      <c r="AD764" s="1268"/>
      <c r="AE764" s="1268"/>
      <c r="AF764" s="1268"/>
      <c r="AG764" s="1268"/>
      <c r="AH764" s="1268"/>
      <c r="AI764" s="1268"/>
      <c r="AJ764" s="1268"/>
      <c r="AK764" s="1268"/>
      <c r="AL764" s="1268"/>
      <c r="AM764" s="1268"/>
      <c r="AN764" s="1268"/>
      <c r="AO764" s="1268"/>
      <c r="AP764" s="1268"/>
      <c r="AQ764" s="1268"/>
      <c r="AR764" s="1268"/>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5" customHeight="1">
      <c r="A765" s="3"/>
      <c r="B765" s="1032"/>
      <c r="C765" s="1268"/>
      <c r="D765" s="1268"/>
      <c r="E765" s="1268"/>
      <c r="F765" s="1268"/>
      <c r="G765" s="1268"/>
      <c r="H765" s="1268"/>
      <c r="I765" s="1268"/>
      <c r="J765" s="1268"/>
      <c r="K765" s="1268"/>
      <c r="L765" s="1268"/>
      <c r="M765" s="1268"/>
      <c r="N765" s="1268"/>
      <c r="O765" s="1268"/>
      <c r="P765" s="1268"/>
      <c r="Q765" s="1268"/>
      <c r="R765" s="1268"/>
      <c r="S765" s="1268"/>
      <c r="T765" s="1268"/>
      <c r="U765" s="1268"/>
      <c r="V765" s="1268"/>
      <c r="W765" s="1268"/>
      <c r="X765" s="1268"/>
      <c r="Y765" s="1268"/>
      <c r="Z765" s="1268"/>
      <c r="AA765" s="1268"/>
      <c r="AB765" s="1268"/>
      <c r="AC765" s="1268"/>
      <c r="AD765" s="1268"/>
      <c r="AE765" s="1268"/>
      <c r="AF765" s="1268"/>
      <c r="AG765" s="1268"/>
      <c r="AH765" s="1268"/>
      <c r="AI765" s="1268"/>
      <c r="AJ765" s="1268"/>
      <c r="AK765" s="1268"/>
      <c r="AL765" s="1268"/>
      <c r="AM765" s="1268"/>
      <c r="AN765" s="1268"/>
      <c r="AO765" s="1268"/>
      <c r="AP765" s="1268"/>
      <c r="AQ765" s="1268"/>
      <c r="AR765" s="1268"/>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5" customHeight="1">
      <c r="A766" s="3"/>
      <c r="B766" s="1032"/>
      <c r="C766" s="1268" t="s">
        <v>2090</v>
      </c>
      <c r="D766" s="1268"/>
      <c r="E766" s="1268"/>
      <c r="F766" s="1268"/>
      <c r="G766" s="1268"/>
      <c r="H766" s="1268"/>
      <c r="I766" s="1268"/>
      <c r="J766" s="1268"/>
      <c r="K766" s="1268"/>
      <c r="L766" s="1268"/>
      <c r="M766" s="1268"/>
      <c r="N766" s="1268"/>
      <c r="O766" s="1268"/>
      <c r="P766" s="1268"/>
      <c r="Q766" s="1268"/>
      <c r="R766" s="1268"/>
      <c r="S766" s="1268"/>
      <c r="T766" s="1268"/>
      <c r="U766" s="1268"/>
      <c r="V766" s="1268"/>
      <c r="W766" s="1268"/>
      <c r="X766" s="1268"/>
      <c r="Y766" s="1268"/>
      <c r="Z766" s="1268"/>
      <c r="AA766" s="1268"/>
      <c r="AB766" s="1268"/>
      <c r="AC766" s="1268"/>
      <c r="AD766" s="1268"/>
      <c r="AE766" s="1268"/>
      <c r="AF766" s="1268"/>
      <c r="AG766" s="1268"/>
      <c r="AH766" s="1268"/>
      <c r="AI766" s="1268"/>
      <c r="AJ766" s="1268"/>
      <c r="AK766" s="1268"/>
      <c r="AL766" s="1268"/>
      <c r="AM766" s="1268"/>
      <c r="AN766" s="1268"/>
      <c r="AO766" s="1268"/>
      <c r="AP766" s="1268"/>
      <c r="AQ766" s="1268"/>
      <c r="AR766" s="1268"/>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2.95" customHeight="1">
      <c r="A767" s="3"/>
      <c r="B767" s="1032"/>
      <c r="C767" s="1268"/>
      <c r="D767" s="1268"/>
      <c r="E767" s="1268"/>
      <c r="F767" s="1268"/>
      <c r="G767" s="1268"/>
      <c r="H767" s="1268"/>
      <c r="I767" s="1268"/>
      <c r="J767" s="1268"/>
      <c r="K767" s="1268"/>
      <c r="L767" s="1268"/>
      <c r="M767" s="1268"/>
      <c r="N767" s="1268"/>
      <c r="O767" s="1268"/>
      <c r="P767" s="1268"/>
      <c r="Q767" s="1268"/>
      <c r="R767" s="1268"/>
      <c r="S767" s="1268"/>
      <c r="T767" s="1268"/>
      <c r="U767" s="1268"/>
      <c r="V767" s="1268"/>
      <c r="W767" s="1268"/>
      <c r="X767" s="1268"/>
      <c r="Y767" s="1268"/>
      <c r="Z767" s="1268"/>
      <c r="AA767" s="1268"/>
      <c r="AB767" s="1268"/>
      <c r="AC767" s="1268"/>
      <c r="AD767" s="1268"/>
      <c r="AE767" s="1268"/>
      <c r="AF767" s="1268"/>
      <c r="AG767" s="1268"/>
      <c r="AH767" s="1268"/>
      <c r="AI767" s="1268"/>
      <c r="AJ767" s="1268"/>
      <c r="AK767" s="1268"/>
      <c r="AL767" s="1268"/>
      <c r="AM767" s="1268"/>
      <c r="AN767" s="1268"/>
      <c r="AO767" s="1268"/>
      <c r="AP767" s="1268"/>
      <c r="AQ767" s="1268"/>
      <c r="AR767" s="1268"/>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5" customHeight="1">
      <c r="A768" s="3"/>
      <c r="B768" s="1032"/>
      <c r="C768" s="1268"/>
      <c r="D768" s="1268"/>
      <c r="E768" s="1268"/>
      <c r="F768" s="1268"/>
      <c r="G768" s="1268"/>
      <c r="H768" s="1268"/>
      <c r="I768" s="1268"/>
      <c r="J768" s="1268"/>
      <c r="K768" s="1268"/>
      <c r="L768" s="1268"/>
      <c r="M768" s="1268"/>
      <c r="N768" s="1268"/>
      <c r="O768" s="1268"/>
      <c r="P768" s="1268"/>
      <c r="Q768" s="1268"/>
      <c r="R768" s="1268"/>
      <c r="S768" s="1268"/>
      <c r="T768" s="1268"/>
      <c r="U768" s="1268"/>
      <c r="V768" s="1268"/>
      <c r="W768" s="1268"/>
      <c r="X768" s="1268"/>
      <c r="Y768" s="1268"/>
      <c r="Z768" s="1268"/>
      <c r="AA768" s="1268"/>
      <c r="AB768" s="1268"/>
      <c r="AC768" s="1268"/>
      <c r="AD768" s="1268"/>
      <c r="AE768" s="1268"/>
      <c r="AF768" s="1268"/>
      <c r="AG768" s="1268"/>
      <c r="AH768" s="1268"/>
      <c r="AI768" s="1268"/>
      <c r="AJ768" s="1268"/>
      <c r="AK768" s="1268"/>
      <c r="AL768" s="1268"/>
      <c r="AM768" s="1268"/>
      <c r="AN768" s="1268"/>
      <c r="AO768" s="1268"/>
      <c r="AP768" s="1268"/>
      <c r="AQ768" s="1268"/>
      <c r="AR768" s="1268"/>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5" customHeight="1">
      <c r="J769" s="1424" t="s">
        <v>388</v>
      </c>
      <c r="K769" s="1425"/>
      <c r="L769" s="1425"/>
      <c r="M769" s="1425"/>
      <c r="N769" s="1426"/>
      <c r="O769" s="1621" t="s">
        <v>284</v>
      </c>
      <c r="P769" s="1621"/>
      <c r="Q769" s="1621"/>
      <c r="R769" s="1621"/>
      <c r="S769" s="1621"/>
      <c r="T769" s="1704" t="s">
        <v>1678</v>
      </c>
      <c r="U769" s="1705"/>
      <c r="V769" s="1705"/>
      <c r="W769" s="1706"/>
      <c r="X769" s="1424" t="s">
        <v>447</v>
      </c>
      <c r="Y769" s="1425"/>
      <c r="Z769" s="1425"/>
      <c r="AA769" s="1425"/>
      <c r="AB769" s="1426"/>
      <c r="AC769" s="1424" t="s">
        <v>285</v>
      </c>
      <c r="AD769" s="1425"/>
      <c r="AE769" s="1425"/>
      <c r="AF769" s="1425"/>
      <c r="AG769" s="1426"/>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5" customHeight="1">
      <c r="J770" s="1427"/>
      <c r="K770" s="1428"/>
      <c r="L770" s="1428"/>
      <c r="M770" s="1428"/>
      <c r="N770" s="1429"/>
      <c r="O770" s="1621"/>
      <c r="P770" s="1621"/>
      <c r="Q770" s="1621"/>
      <c r="R770" s="1621"/>
      <c r="S770" s="1621"/>
      <c r="T770" s="1707"/>
      <c r="U770" s="1708"/>
      <c r="V770" s="1708"/>
      <c r="W770" s="1709"/>
      <c r="X770" s="1427"/>
      <c r="Y770" s="1428"/>
      <c r="Z770" s="1428"/>
      <c r="AA770" s="1428"/>
      <c r="AB770" s="1429"/>
      <c r="AC770" s="1427"/>
      <c r="AD770" s="1428"/>
      <c r="AE770" s="1428"/>
      <c r="AF770" s="1428"/>
      <c r="AG770" s="1429"/>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5" customHeight="1">
      <c r="J771" s="1427"/>
      <c r="K771" s="1428"/>
      <c r="L771" s="1428"/>
      <c r="M771" s="1428"/>
      <c r="N771" s="1429"/>
      <c r="O771" s="1621"/>
      <c r="P771" s="1621"/>
      <c r="Q771" s="1621"/>
      <c r="R771" s="1621"/>
      <c r="S771" s="1621"/>
      <c r="T771" s="1707"/>
      <c r="U771" s="1708"/>
      <c r="V771" s="1708"/>
      <c r="W771" s="1709"/>
      <c r="X771" s="1427"/>
      <c r="Y771" s="1428"/>
      <c r="Z771" s="1428"/>
      <c r="AA771" s="1428"/>
      <c r="AB771" s="1429"/>
      <c r="AC771" s="1427"/>
      <c r="AD771" s="1428"/>
      <c r="AE771" s="1428"/>
      <c r="AF771" s="1428"/>
      <c r="AG771" s="1429"/>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5" customHeight="1">
      <c r="J772" s="1430"/>
      <c r="K772" s="1431"/>
      <c r="L772" s="1431"/>
      <c r="M772" s="1431"/>
      <c r="N772" s="1432"/>
      <c r="O772" s="1621"/>
      <c r="P772" s="1621"/>
      <c r="Q772" s="1621"/>
      <c r="R772" s="1621"/>
      <c r="S772" s="1621"/>
      <c r="T772" s="1730"/>
      <c r="U772" s="1731"/>
      <c r="V772" s="1731"/>
      <c r="W772" s="1732"/>
      <c r="X772" s="1430"/>
      <c r="Y772" s="1431"/>
      <c r="Z772" s="1431"/>
      <c r="AA772" s="1431"/>
      <c r="AB772" s="1432"/>
      <c r="AC772" s="1430"/>
      <c r="AD772" s="1431"/>
      <c r="AE772" s="1431"/>
      <c r="AF772" s="1431"/>
      <c r="AG772" s="1432"/>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2.95" customHeight="1">
      <c r="J773" s="1394" t="s">
        <v>324</v>
      </c>
      <c r="K773" s="1395"/>
      <c r="L773" s="1395"/>
      <c r="M773" s="1395"/>
      <c r="N773" s="1396"/>
      <c r="O773" s="1590">
        <v>1</v>
      </c>
      <c r="P773" s="1590"/>
      <c r="Q773" s="1590"/>
      <c r="R773" s="1590"/>
      <c r="S773" s="1590"/>
      <c r="T773" s="1390">
        <f>K721</f>
        <v>464</v>
      </c>
      <c r="U773" s="1391"/>
      <c r="V773" s="1391"/>
      <c r="W773" s="1392"/>
      <c r="X773" s="1383">
        <v>1860</v>
      </c>
      <c r="Y773" s="1384"/>
      <c r="Z773" s="1384"/>
      <c r="AA773" s="1384"/>
      <c r="AB773" s="1385"/>
      <c r="AC773" s="1401">
        <f>X773*O773</f>
        <v>1860</v>
      </c>
      <c r="AD773" s="1402"/>
      <c r="AE773" s="1402"/>
      <c r="AF773" s="1402"/>
      <c r="AG773" s="1403"/>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510">
        <f>IF(J773="SRO/Studio",O773,0)</f>
        <v>0</v>
      </c>
      <c r="CQ773" s="1511"/>
      <c r="CR773" s="1511"/>
      <c r="CS773" s="1511"/>
      <c r="CT773" s="1512"/>
      <c r="CU773" s="1498">
        <f>IF(J773="1 Bedroom",O773,0)</f>
        <v>1</v>
      </c>
      <c r="CV773" s="1498"/>
      <c r="CW773" s="1498"/>
      <c r="CX773" s="1498"/>
      <c r="CY773" s="1498"/>
      <c r="CZ773" s="1498">
        <f>IF(J773="2 Bedrooms",O773,0)</f>
        <v>0</v>
      </c>
      <c r="DA773" s="1498"/>
      <c r="DB773" s="1498"/>
      <c r="DC773" s="1498"/>
      <c r="DD773" s="1498"/>
      <c r="DE773" s="1498">
        <f>IF(J773="3 Bedrooms",O773,0)</f>
        <v>0</v>
      </c>
      <c r="DF773" s="1498"/>
      <c r="DG773" s="1498"/>
      <c r="DH773" s="1498"/>
      <c r="DI773" s="1498"/>
      <c r="DJ773" s="1498">
        <f>IF(J773="4 Bedrooms",O773,0)</f>
        <v>0</v>
      </c>
      <c r="DK773" s="1498"/>
      <c r="DL773" s="1498"/>
      <c r="DM773" s="1498"/>
      <c r="DN773" s="1498"/>
      <c r="DO773" s="1498">
        <f>IF(J773="5 Bedrooms",O773,0)</f>
        <v>0</v>
      </c>
      <c r="DP773" s="1498"/>
      <c r="DQ773" s="1498"/>
      <c r="DR773" s="1498"/>
      <c r="DS773" s="1498"/>
      <c r="DT773" s="6"/>
      <c r="DU773" s="3"/>
      <c r="DV773" s="3"/>
    </row>
    <row r="774" spans="1:126" ht="12.95" customHeight="1">
      <c r="J774" s="1394" t="s">
        <v>163</v>
      </c>
      <c r="K774" s="1395"/>
      <c r="L774" s="1395"/>
      <c r="M774" s="1395"/>
      <c r="N774" s="1396"/>
      <c r="O774" s="1590">
        <v>1</v>
      </c>
      <c r="P774" s="1590"/>
      <c r="Q774" s="1590"/>
      <c r="R774" s="1590"/>
      <c r="S774" s="1590"/>
      <c r="T774" s="1390">
        <v>690</v>
      </c>
      <c r="U774" s="1391"/>
      <c r="V774" s="1391"/>
      <c r="W774" s="1392"/>
      <c r="X774" s="1383">
        <v>2233</v>
      </c>
      <c r="Y774" s="1384"/>
      <c r="Z774" s="1384"/>
      <c r="AA774" s="1384"/>
      <c r="AB774" s="1385"/>
      <c r="AC774" s="1401">
        <f>X774*O774</f>
        <v>2233</v>
      </c>
      <c r="AD774" s="1402"/>
      <c r="AE774" s="1402"/>
      <c r="AF774" s="1402"/>
      <c r="AG774" s="1403"/>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510">
        <f>IF(J774="SRO/Studio",O774,0)</f>
        <v>0</v>
      </c>
      <c r="CQ774" s="1511"/>
      <c r="CR774" s="1511"/>
      <c r="CS774" s="1511"/>
      <c r="CT774" s="1512"/>
      <c r="CU774" s="1498">
        <f>IF(J774="1 Bedroom",O774,0)</f>
        <v>0</v>
      </c>
      <c r="CV774" s="1498"/>
      <c r="CW774" s="1498"/>
      <c r="CX774" s="1498"/>
      <c r="CY774" s="1498"/>
      <c r="CZ774" s="1498">
        <f>IF(J774="2 Bedrooms",O774,0)</f>
        <v>1</v>
      </c>
      <c r="DA774" s="1498"/>
      <c r="DB774" s="1498"/>
      <c r="DC774" s="1498"/>
      <c r="DD774" s="1498"/>
      <c r="DE774" s="1498">
        <f>IF(J774="3 Bedrooms",O774,0)</f>
        <v>0</v>
      </c>
      <c r="DF774" s="1498"/>
      <c r="DG774" s="1498"/>
      <c r="DH774" s="1498"/>
      <c r="DI774" s="1498"/>
      <c r="DJ774" s="1498">
        <f>IF(J774="4 Bedrooms",O774,0)</f>
        <v>0</v>
      </c>
      <c r="DK774" s="1498"/>
      <c r="DL774" s="1498"/>
      <c r="DM774" s="1498"/>
      <c r="DN774" s="1498"/>
      <c r="DO774" s="1498">
        <f>IF(J774="5 Bedrooms",O774,0)</f>
        <v>0</v>
      </c>
      <c r="DP774" s="1498"/>
      <c r="DQ774" s="1498"/>
      <c r="DR774" s="1498"/>
      <c r="DS774" s="1498"/>
      <c r="DT774" s="6"/>
      <c r="DU774" s="3"/>
      <c r="DV774" s="3"/>
    </row>
    <row r="775" spans="1:126" ht="12.95" customHeight="1">
      <c r="J775" s="1394" t="s">
        <v>164</v>
      </c>
      <c r="K775" s="1395"/>
      <c r="L775" s="1395"/>
      <c r="M775" s="1395"/>
      <c r="N775" s="1396"/>
      <c r="O775" s="1590">
        <v>1</v>
      </c>
      <c r="P775" s="1590"/>
      <c r="Q775" s="1590"/>
      <c r="R775" s="1590"/>
      <c r="S775" s="1590"/>
      <c r="T775" s="1390">
        <f>K726</f>
        <v>815</v>
      </c>
      <c r="U775" s="1391"/>
      <c r="V775" s="1391"/>
      <c r="W775" s="1392"/>
      <c r="X775" s="1383">
        <v>2580</v>
      </c>
      <c r="Y775" s="1384"/>
      <c r="Z775" s="1384"/>
      <c r="AA775" s="1384"/>
      <c r="AB775" s="1385"/>
      <c r="AC775" s="1401">
        <f>X775*O775</f>
        <v>2580</v>
      </c>
      <c r="AD775" s="1402"/>
      <c r="AE775" s="1402"/>
      <c r="AF775" s="1402"/>
      <c r="AG775" s="1403"/>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510">
        <f>IF(J775="SRO/Studio",O775,0)</f>
        <v>0</v>
      </c>
      <c r="CQ775" s="1511"/>
      <c r="CR775" s="1511"/>
      <c r="CS775" s="1511"/>
      <c r="CT775" s="1512"/>
      <c r="CU775" s="1498">
        <f>IF(J775="1 Bedroom",O775,0)</f>
        <v>0</v>
      </c>
      <c r="CV775" s="1498"/>
      <c r="CW775" s="1498"/>
      <c r="CX775" s="1498"/>
      <c r="CY775" s="1498"/>
      <c r="CZ775" s="1498">
        <f>IF(J775="2 Bedrooms",O775,0)</f>
        <v>0</v>
      </c>
      <c r="DA775" s="1498"/>
      <c r="DB775" s="1498"/>
      <c r="DC775" s="1498"/>
      <c r="DD775" s="1498"/>
      <c r="DE775" s="1498">
        <f>IF(J775="3 Bedrooms",O775,0)</f>
        <v>1</v>
      </c>
      <c r="DF775" s="1498"/>
      <c r="DG775" s="1498"/>
      <c r="DH775" s="1498"/>
      <c r="DI775" s="1498"/>
      <c r="DJ775" s="1498">
        <f>IF(J775="4 Bedrooms",O775,0)</f>
        <v>0</v>
      </c>
      <c r="DK775" s="1498"/>
      <c r="DL775" s="1498"/>
      <c r="DM775" s="1498"/>
      <c r="DN775" s="1498"/>
      <c r="DO775" s="1498">
        <f>IF(J775="5 Bedrooms",O775,0)</f>
        <v>0</v>
      </c>
      <c r="DP775" s="1498"/>
      <c r="DQ775" s="1498"/>
      <c r="DR775" s="1498"/>
      <c r="DS775" s="1498"/>
      <c r="DT775" s="1012"/>
    </row>
    <row r="776" spans="1:126" ht="12.95" customHeight="1">
      <c r="J776" s="1394"/>
      <c r="K776" s="1395"/>
      <c r="L776" s="1395"/>
      <c r="M776" s="1395"/>
      <c r="N776" s="1396"/>
      <c r="O776" s="1590"/>
      <c r="P776" s="1590"/>
      <c r="Q776" s="1590"/>
      <c r="R776" s="1590"/>
      <c r="S776" s="1590"/>
      <c r="T776" s="1390"/>
      <c r="U776" s="1391"/>
      <c r="V776" s="1391"/>
      <c r="W776" s="1392"/>
      <c r="X776" s="1383"/>
      <c r="Y776" s="1384"/>
      <c r="Z776" s="1384"/>
      <c r="AA776" s="1384"/>
      <c r="AB776" s="1385"/>
      <c r="AC776" s="1401">
        <f>X776*O776</f>
        <v>0</v>
      </c>
      <c r="AD776" s="1402"/>
      <c r="AE776" s="1402"/>
      <c r="AF776" s="1402"/>
      <c r="AG776" s="1403"/>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510">
        <f>IF(J776="SRO/Studio",O776,0)</f>
        <v>0</v>
      </c>
      <c r="CQ776" s="1511"/>
      <c r="CR776" s="1511"/>
      <c r="CS776" s="1511"/>
      <c r="CT776" s="1512"/>
      <c r="CU776" s="1498">
        <f>IF(J776="1 Bedroom",O776,0)</f>
        <v>0</v>
      </c>
      <c r="CV776" s="1498"/>
      <c r="CW776" s="1498"/>
      <c r="CX776" s="1498"/>
      <c r="CY776" s="1498"/>
      <c r="CZ776" s="1498">
        <f>IF(J776="2 Bedrooms",O776,0)</f>
        <v>0</v>
      </c>
      <c r="DA776" s="1498"/>
      <c r="DB776" s="1498"/>
      <c r="DC776" s="1498"/>
      <c r="DD776" s="1498"/>
      <c r="DE776" s="1498">
        <f>IF(J776="3 Bedrooms",O776,0)</f>
        <v>0</v>
      </c>
      <c r="DF776" s="1498"/>
      <c r="DG776" s="1498"/>
      <c r="DH776" s="1498"/>
      <c r="DI776" s="1498"/>
      <c r="DJ776" s="1498">
        <f>IF(J776="4 Bedrooms",O776,0)</f>
        <v>0</v>
      </c>
      <c r="DK776" s="1498"/>
      <c r="DL776" s="1498"/>
      <c r="DM776" s="1498"/>
      <c r="DN776" s="1498"/>
      <c r="DO776" s="1498">
        <f>IF(J776="5 Bedrooms",O776,0)</f>
        <v>0</v>
      </c>
      <c r="DP776" s="1498"/>
      <c r="DQ776" s="1498"/>
      <c r="DR776" s="1498"/>
      <c r="DS776" s="1498"/>
    </row>
    <row r="777" spans="1:126" ht="12.95" customHeight="1">
      <c r="J777" s="1502" t="s">
        <v>125</v>
      </c>
      <c r="K777" s="1503"/>
      <c r="L777" s="1503"/>
      <c r="M777" s="1503"/>
      <c r="N777" s="1504"/>
      <c r="O777" s="1508">
        <f>SUM(O773:S776)</f>
        <v>3</v>
      </c>
      <c r="P777" s="1513"/>
      <c r="Q777" s="1513"/>
      <c r="R777" s="1513"/>
      <c r="S777" s="1509"/>
      <c r="X777" s="1502" t="s">
        <v>124</v>
      </c>
      <c r="Y777" s="1503"/>
      <c r="Z777" s="1503"/>
      <c r="AA777" s="1503"/>
      <c r="AB777" s="1504"/>
      <c r="AC777" s="1401">
        <f>SUM(AC773:AG776)</f>
        <v>6673</v>
      </c>
      <c r="AD777" s="1402"/>
      <c r="AE777" s="1402"/>
      <c r="AF777" s="1402"/>
      <c r="AG777" s="1403"/>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508">
        <f>SUM(CP773:CT776)</f>
        <v>0</v>
      </c>
      <c r="CQ777" s="1513"/>
      <c r="CR777" s="1513"/>
      <c r="CS777" s="1513"/>
      <c r="CT777" s="1509"/>
      <c r="CU777" s="1514">
        <f>SUM(CU773:CY776)</f>
        <v>1</v>
      </c>
      <c r="CV777" s="1515"/>
      <c r="CW777" s="1515"/>
      <c r="CX777" s="1515"/>
      <c r="CY777" s="1516"/>
      <c r="CZ777" s="1514">
        <f>SUM(CZ773:DD776)</f>
        <v>1</v>
      </c>
      <c r="DA777" s="1515"/>
      <c r="DB777" s="1515"/>
      <c r="DC777" s="1515"/>
      <c r="DD777" s="1516"/>
      <c r="DE777" s="1514">
        <f>SUM(DE773:DI776)</f>
        <v>1</v>
      </c>
      <c r="DF777" s="1515"/>
      <c r="DG777" s="1515"/>
      <c r="DH777" s="1515"/>
      <c r="DI777" s="1516"/>
      <c r="DJ777" s="1514">
        <f>SUM(DJ773:DN776)</f>
        <v>0</v>
      </c>
      <c r="DK777" s="1515"/>
      <c r="DL777" s="1515"/>
      <c r="DM777" s="1515"/>
      <c r="DN777" s="1516"/>
      <c r="DO777" s="1514">
        <f>SUM(DO773:DS776)</f>
        <v>0</v>
      </c>
      <c r="DP777" s="1515"/>
      <c r="DQ777" s="1515"/>
      <c r="DR777" s="1515"/>
      <c r="DS777" s="1516"/>
      <c r="DU777" s="861">
        <f>CP777+CU777+CZ777+DE777+DJ777+DO777</f>
        <v>3</v>
      </c>
      <c r="DV777" s="57" t="s">
        <v>1859</v>
      </c>
    </row>
    <row r="778" spans="1:126" ht="12.95"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1</v>
      </c>
      <c r="CZ778" s="3"/>
      <c r="DA778" s="3"/>
      <c r="DB778" s="3"/>
      <c r="DC778" s="3"/>
      <c r="DD778" s="861">
        <f>CZ777*2</f>
        <v>2</v>
      </c>
      <c r="DE778" s="3"/>
      <c r="DF778" s="3"/>
      <c r="DG778" s="3"/>
      <c r="DH778" s="3"/>
      <c r="DI778" s="861">
        <f>DE777*3</f>
        <v>3</v>
      </c>
      <c r="DJ778" s="3"/>
      <c r="DK778" s="3"/>
      <c r="DL778" s="3"/>
      <c r="DM778" s="3"/>
      <c r="DN778" s="861">
        <f>DJ777*4</f>
        <v>0</v>
      </c>
      <c r="DO778" s="3"/>
      <c r="DP778" s="3"/>
      <c r="DQ778" s="3"/>
      <c r="DR778" s="3"/>
      <c r="DS778" s="861">
        <f>DO777*5</f>
        <v>0</v>
      </c>
      <c r="DU778" s="861">
        <f>CT778+CY778+DD778+DI778+DN778+DS778</f>
        <v>6</v>
      </c>
      <c r="DV778" s="57" t="s">
        <v>1861</v>
      </c>
    </row>
    <row r="779" spans="1:126" ht="12.95" customHeight="1">
      <c r="B779" s="56"/>
      <c r="C779" s="56"/>
      <c r="D779" s="56"/>
      <c r="E779" s="56"/>
      <c r="F779" s="56"/>
      <c r="G779" s="6"/>
      <c r="H779" s="6"/>
      <c r="I779" s="6"/>
      <c r="J779" s="1700" t="s">
        <v>669</v>
      </c>
      <c r="K779" s="1700"/>
      <c r="L779" s="56"/>
      <c r="M779" s="35" t="s">
        <v>976</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5" customHeight="1">
      <c r="B780" s="56"/>
      <c r="C780" s="56"/>
      <c r="D780" s="56"/>
      <c r="E780" s="56"/>
      <c r="F780" s="56"/>
      <c r="G780" s="6"/>
      <c r="H780" s="6"/>
      <c r="I780" s="6"/>
      <c r="J780" s="6"/>
      <c r="K780" s="6"/>
      <c r="L780" s="56"/>
      <c r="M780" s="35" t="s">
        <v>2091</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5" customHeight="1">
      <c r="A781" s="2" t="s">
        <v>586</v>
      </c>
      <c r="B781" s="57"/>
      <c r="C781" s="57" t="s">
        <v>286</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5"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5" customHeight="1">
      <c r="J783" s="1424" t="s">
        <v>388</v>
      </c>
      <c r="K783" s="1425"/>
      <c r="L783" s="1425"/>
      <c r="M783" s="1425"/>
      <c r="N783" s="1426"/>
      <c r="O783" s="1621" t="s">
        <v>284</v>
      </c>
      <c r="P783" s="1621"/>
      <c r="Q783" s="1621"/>
      <c r="R783" s="1621"/>
      <c r="S783" s="1621"/>
      <c r="T783" s="1704" t="s">
        <v>1678</v>
      </c>
      <c r="U783" s="1705"/>
      <c r="V783" s="1705"/>
      <c r="W783" s="1706"/>
      <c r="X783" s="1424" t="s">
        <v>447</v>
      </c>
      <c r="Y783" s="1425"/>
      <c r="Z783" s="1425"/>
      <c r="AA783" s="1425"/>
      <c r="AB783" s="1426"/>
      <c r="AC783" s="1424" t="s">
        <v>285</v>
      </c>
      <c r="AD783" s="1425"/>
      <c r="AE783" s="1425"/>
      <c r="AF783" s="1425"/>
      <c r="AG783" s="1426"/>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5" customHeight="1">
      <c r="J784" s="1427"/>
      <c r="K784" s="1428"/>
      <c r="L784" s="1428"/>
      <c r="M784" s="1428"/>
      <c r="N784" s="1429"/>
      <c r="O784" s="1621"/>
      <c r="P784" s="1621"/>
      <c r="Q784" s="1621"/>
      <c r="R784" s="1621"/>
      <c r="S784" s="1621"/>
      <c r="T784" s="1707"/>
      <c r="U784" s="1708"/>
      <c r="V784" s="1708"/>
      <c r="W784" s="1709"/>
      <c r="X784" s="1427"/>
      <c r="Y784" s="1428"/>
      <c r="Z784" s="1428"/>
      <c r="AA784" s="1428"/>
      <c r="AB784" s="1429"/>
      <c r="AC784" s="1427"/>
      <c r="AD784" s="1428"/>
      <c r="AE784" s="1428"/>
      <c r="AF784" s="1428"/>
      <c r="AG784" s="1429"/>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5" customHeight="1">
      <c r="J785" s="1427"/>
      <c r="K785" s="1428"/>
      <c r="L785" s="1428"/>
      <c r="M785" s="1428"/>
      <c r="N785" s="1429"/>
      <c r="O785" s="1621"/>
      <c r="P785" s="1621"/>
      <c r="Q785" s="1621"/>
      <c r="R785" s="1621"/>
      <c r="S785" s="1621"/>
      <c r="T785" s="1707"/>
      <c r="U785" s="1708"/>
      <c r="V785" s="1708"/>
      <c r="W785" s="1709"/>
      <c r="X785" s="1427"/>
      <c r="Y785" s="1428"/>
      <c r="Z785" s="1428"/>
      <c r="AA785" s="1428"/>
      <c r="AB785" s="1429"/>
      <c r="AC785" s="1427"/>
      <c r="AD785" s="1428"/>
      <c r="AE785" s="1428"/>
      <c r="AF785" s="1428"/>
      <c r="AG785" s="1429"/>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5" customHeight="1">
      <c r="J786" s="1430"/>
      <c r="K786" s="1431"/>
      <c r="L786" s="1431"/>
      <c r="M786" s="1431"/>
      <c r="N786" s="1432"/>
      <c r="O786" s="1621"/>
      <c r="P786" s="1621"/>
      <c r="Q786" s="1621"/>
      <c r="R786" s="1621"/>
      <c r="S786" s="1621"/>
      <c r="T786" s="1730"/>
      <c r="U786" s="1731"/>
      <c r="V786" s="1731"/>
      <c r="W786" s="1732"/>
      <c r="X786" s="1430"/>
      <c r="Y786" s="1431"/>
      <c r="Z786" s="1431"/>
      <c r="AA786" s="1431"/>
      <c r="AB786" s="1432"/>
      <c r="AC786" s="1430"/>
      <c r="AD786" s="1431"/>
      <c r="AE786" s="1431"/>
      <c r="AF786" s="1431"/>
      <c r="AG786" s="1432"/>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1866</v>
      </c>
      <c r="DV786" s="3"/>
      <c r="DW786" s="3"/>
      <c r="DX786" s="3"/>
      <c r="DY786" s="3"/>
      <c r="DZ786" s="3"/>
      <c r="EA786" s="3"/>
      <c r="EB786" s="3"/>
      <c r="EC786" s="3"/>
      <c r="ED786" s="3"/>
      <c r="EE786" s="3"/>
      <c r="EF786" s="3"/>
      <c r="EG786" s="3"/>
      <c r="EH786" s="3"/>
    </row>
    <row r="787" spans="1:154" ht="12.95" customHeight="1">
      <c r="J787" s="1394"/>
      <c r="K787" s="1395"/>
      <c r="L787" s="1395"/>
      <c r="M787" s="1395"/>
      <c r="N787" s="1396"/>
      <c r="O787" s="1590"/>
      <c r="P787" s="1590"/>
      <c r="Q787" s="1590"/>
      <c r="R787" s="1590"/>
      <c r="S787" s="1590"/>
      <c r="T787" s="1390"/>
      <c r="U787" s="1391"/>
      <c r="V787" s="1391"/>
      <c r="W787" s="1392"/>
      <c r="X787" s="1383"/>
      <c r="Y787" s="1384"/>
      <c r="Z787" s="1384"/>
      <c r="AA787" s="1384"/>
      <c r="AB787" s="1385"/>
      <c r="AC787" s="1401">
        <f t="shared" ref="AC787:AC796" si="40">X787*O787</f>
        <v>0</v>
      </c>
      <c r="AD787" s="1402"/>
      <c r="AE787" s="1402"/>
      <c r="AF787" s="1402"/>
      <c r="AG787" s="1403"/>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510">
        <f t="shared" ref="CP787:CP796" si="41">IF(J787="SRO/Studio",O787,0)</f>
        <v>0</v>
      </c>
      <c r="CQ787" s="1511"/>
      <c r="CR787" s="1511"/>
      <c r="CS787" s="1511"/>
      <c r="CT787" s="1512"/>
      <c r="CU787" s="1510">
        <f t="shared" ref="CU787:CU796" si="42">IF(J787="1 Bedroom",O787,0)</f>
        <v>0</v>
      </c>
      <c r="CV787" s="1511"/>
      <c r="CW787" s="1511"/>
      <c r="CX787" s="1511"/>
      <c r="CY787" s="1512"/>
      <c r="CZ787" s="1510">
        <f t="shared" ref="CZ787:CZ796" si="43">IF(J787="2 Bedrooms",O787,0)</f>
        <v>0</v>
      </c>
      <c r="DA787" s="1511"/>
      <c r="DB787" s="1511"/>
      <c r="DC787" s="1511"/>
      <c r="DD787" s="1512"/>
      <c r="DE787" s="1510">
        <f t="shared" ref="DE787:DE796" si="44">IF(J787="3 Bedrooms",O787,0)</f>
        <v>0</v>
      </c>
      <c r="DF787" s="1511"/>
      <c r="DG787" s="1511"/>
      <c r="DH787" s="1511"/>
      <c r="DI787" s="1512"/>
      <c r="DJ787" s="1510">
        <f t="shared" ref="DJ787:DJ796" si="45">IF(J787="4 Bedrooms",O787,0)</f>
        <v>0</v>
      </c>
      <c r="DK787" s="1511"/>
      <c r="DL787" s="1511"/>
      <c r="DM787" s="1511"/>
      <c r="DN787" s="1512"/>
      <c r="DO787" s="1510">
        <f t="shared" ref="DO787:DO796" si="46">IF(J787="5 Bedrooms",O787,0)</f>
        <v>0</v>
      </c>
      <c r="DP787" s="1511"/>
      <c r="DQ787" s="1511"/>
      <c r="DR787" s="1511"/>
      <c r="DS787" s="1512"/>
      <c r="DT787" s="6"/>
      <c r="DU787" s="1510">
        <f t="shared" ref="DU787:DU796" si="47">IF(AND(CP787&gt;=1,AH787&gt;=0.1,AH787&lt;=1),O787,0)</f>
        <v>0</v>
      </c>
      <c r="DV787" s="1511"/>
      <c r="DW787" s="1511"/>
      <c r="DX787" s="1511"/>
      <c r="DY787" s="1512"/>
      <c r="DZ787" s="1510">
        <f t="shared" ref="DZ787:DZ796" si="48">IF(AND(CU787&gt;=1,AH787&gt;=0.1,AH787&lt;=1),O787,0)</f>
        <v>0</v>
      </c>
      <c r="EA787" s="1511"/>
      <c r="EB787" s="1511"/>
      <c r="EC787" s="1511"/>
      <c r="ED787" s="1512"/>
      <c r="EE787" s="1510">
        <f t="shared" ref="EE787:EE796" si="49">IF(AND(CZ787&gt;=1,AH787&gt;=0.1,AH787&lt;=1),O787,0)</f>
        <v>0</v>
      </c>
      <c r="EF787" s="1511"/>
      <c r="EG787" s="1511"/>
      <c r="EH787" s="1511"/>
      <c r="EI787" s="1512"/>
      <c r="EJ787" s="1510">
        <f t="shared" ref="EJ787:EJ796" si="50">IF(AND(DE787&gt;=1,AH787&gt;=0.1,AH787&lt;=1),O787,0)</f>
        <v>0</v>
      </c>
      <c r="EK787" s="1511"/>
      <c r="EL787" s="1511"/>
      <c r="EM787" s="1511"/>
      <c r="EN787" s="1512"/>
      <c r="EO787" s="1510">
        <f t="shared" ref="EO787:EO796" si="51">IF(AND(DJ787&gt;=1,AH787&gt;=0.1,AH787&lt;=1),O787,0)</f>
        <v>0</v>
      </c>
      <c r="EP787" s="1511"/>
      <c r="EQ787" s="1511"/>
      <c r="ER787" s="1511"/>
      <c r="ES787" s="1512"/>
      <c r="ET787" s="1510">
        <f t="shared" ref="ET787:ET796" si="52">IF(AND(DO787&gt;=1,AH787&gt;=0.1,AH787&lt;=1),O787,0)</f>
        <v>0</v>
      </c>
      <c r="EU787" s="1511"/>
      <c r="EV787" s="1511"/>
      <c r="EW787" s="1511"/>
      <c r="EX787" s="1512"/>
    </row>
    <row r="788" spans="1:154" s="14" customFormat="1" ht="12.95" customHeight="1">
      <c r="A788"/>
      <c r="B788"/>
      <c r="C788"/>
      <c r="D788"/>
      <c r="E788"/>
      <c r="F788"/>
      <c r="G788"/>
      <c r="H788"/>
      <c r="I788"/>
      <c r="J788" s="1394"/>
      <c r="K788" s="1395"/>
      <c r="L788" s="1395"/>
      <c r="M788" s="1395"/>
      <c r="N788" s="1396"/>
      <c r="O788" s="1590"/>
      <c r="P788" s="1590"/>
      <c r="Q788" s="1590"/>
      <c r="R788" s="1590"/>
      <c r="S788" s="1590"/>
      <c r="T788" s="1390"/>
      <c r="U788" s="1391"/>
      <c r="V788" s="1391"/>
      <c r="W788" s="1392"/>
      <c r="X788" s="1383"/>
      <c r="Y788" s="1384"/>
      <c r="Z788" s="1384"/>
      <c r="AA788" s="1384"/>
      <c r="AB788" s="1385"/>
      <c r="AC788" s="1401">
        <f t="shared" si="40"/>
        <v>0</v>
      </c>
      <c r="AD788" s="1402"/>
      <c r="AE788" s="1402"/>
      <c r="AF788" s="1402"/>
      <c r="AG788" s="1403"/>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510">
        <f t="shared" si="41"/>
        <v>0</v>
      </c>
      <c r="CQ788" s="1511"/>
      <c r="CR788" s="1511"/>
      <c r="CS788" s="1511"/>
      <c r="CT788" s="1512"/>
      <c r="CU788" s="1510">
        <f t="shared" si="42"/>
        <v>0</v>
      </c>
      <c r="CV788" s="1511"/>
      <c r="CW788" s="1511"/>
      <c r="CX788" s="1511"/>
      <c r="CY788" s="1512"/>
      <c r="CZ788" s="1510">
        <f t="shared" si="43"/>
        <v>0</v>
      </c>
      <c r="DA788" s="1511"/>
      <c r="DB788" s="1511"/>
      <c r="DC788" s="1511"/>
      <c r="DD788" s="1512"/>
      <c r="DE788" s="1510">
        <f t="shared" si="44"/>
        <v>0</v>
      </c>
      <c r="DF788" s="1511"/>
      <c r="DG788" s="1511"/>
      <c r="DH788" s="1511"/>
      <c r="DI788" s="1512"/>
      <c r="DJ788" s="1510">
        <f t="shared" si="45"/>
        <v>0</v>
      </c>
      <c r="DK788" s="1511"/>
      <c r="DL788" s="1511"/>
      <c r="DM788" s="1511"/>
      <c r="DN788" s="1512"/>
      <c r="DO788" s="1510">
        <f t="shared" si="46"/>
        <v>0</v>
      </c>
      <c r="DP788" s="1511"/>
      <c r="DQ788" s="1511"/>
      <c r="DR788" s="1511"/>
      <c r="DS788" s="1512"/>
      <c r="DT788" s="6"/>
      <c r="DU788" s="1510">
        <f t="shared" si="47"/>
        <v>0</v>
      </c>
      <c r="DV788" s="1511"/>
      <c r="DW788" s="1511"/>
      <c r="DX788" s="1511"/>
      <c r="DY788" s="1512"/>
      <c r="DZ788" s="1510">
        <f t="shared" si="48"/>
        <v>0</v>
      </c>
      <c r="EA788" s="1511"/>
      <c r="EB788" s="1511"/>
      <c r="EC788" s="1511"/>
      <c r="ED788" s="1512"/>
      <c r="EE788" s="1510">
        <f t="shared" si="49"/>
        <v>0</v>
      </c>
      <c r="EF788" s="1511"/>
      <c r="EG788" s="1511"/>
      <c r="EH788" s="1511"/>
      <c r="EI788" s="1512"/>
      <c r="EJ788" s="1510">
        <f t="shared" si="50"/>
        <v>0</v>
      </c>
      <c r="EK788" s="1511"/>
      <c r="EL788" s="1511"/>
      <c r="EM788" s="1511"/>
      <c r="EN788" s="1512"/>
      <c r="EO788" s="1510">
        <f t="shared" si="51"/>
        <v>0</v>
      </c>
      <c r="EP788" s="1511"/>
      <c r="EQ788" s="1511"/>
      <c r="ER788" s="1511"/>
      <c r="ES788" s="1512"/>
      <c r="ET788" s="1510">
        <f t="shared" si="52"/>
        <v>0</v>
      </c>
      <c r="EU788" s="1511"/>
      <c r="EV788" s="1511"/>
      <c r="EW788" s="1511"/>
      <c r="EX788" s="1512"/>
    </row>
    <row r="789" spans="1:154" s="14" customFormat="1" ht="12.95" customHeight="1">
      <c r="A789"/>
      <c r="B789"/>
      <c r="C789"/>
      <c r="D789"/>
      <c r="E789"/>
      <c r="F789"/>
      <c r="G789"/>
      <c r="H789"/>
      <c r="I789"/>
      <c r="J789" s="1394"/>
      <c r="K789" s="1395"/>
      <c r="L789" s="1395"/>
      <c r="M789" s="1395"/>
      <c r="N789" s="1396"/>
      <c r="O789" s="1590"/>
      <c r="P789" s="1590"/>
      <c r="Q789" s="1590"/>
      <c r="R789" s="1590"/>
      <c r="S789" s="1590"/>
      <c r="T789" s="1390"/>
      <c r="U789" s="1391"/>
      <c r="V789" s="1391"/>
      <c r="W789" s="1392"/>
      <c r="X789" s="1383"/>
      <c r="Y789" s="1384"/>
      <c r="Z789" s="1384"/>
      <c r="AA789" s="1384"/>
      <c r="AB789" s="1385"/>
      <c r="AC789" s="1401">
        <f t="shared" si="40"/>
        <v>0</v>
      </c>
      <c r="AD789" s="1402"/>
      <c r="AE789" s="1402"/>
      <c r="AF789" s="1402"/>
      <c r="AG789" s="1403"/>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510">
        <f t="shared" si="41"/>
        <v>0</v>
      </c>
      <c r="CQ789" s="1511"/>
      <c r="CR789" s="1511"/>
      <c r="CS789" s="1511"/>
      <c r="CT789" s="1512"/>
      <c r="CU789" s="1510">
        <f t="shared" si="42"/>
        <v>0</v>
      </c>
      <c r="CV789" s="1511"/>
      <c r="CW789" s="1511"/>
      <c r="CX789" s="1511"/>
      <c r="CY789" s="1512"/>
      <c r="CZ789" s="1510">
        <f t="shared" si="43"/>
        <v>0</v>
      </c>
      <c r="DA789" s="1511"/>
      <c r="DB789" s="1511"/>
      <c r="DC789" s="1511"/>
      <c r="DD789" s="1512"/>
      <c r="DE789" s="1510">
        <f t="shared" si="44"/>
        <v>0</v>
      </c>
      <c r="DF789" s="1511"/>
      <c r="DG789" s="1511"/>
      <c r="DH789" s="1511"/>
      <c r="DI789" s="1512"/>
      <c r="DJ789" s="1510">
        <f t="shared" si="45"/>
        <v>0</v>
      </c>
      <c r="DK789" s="1511"/>
      <c r="DL789" s="1511"/>
      <c r="DM789" s="1511"/>
      <c r="DN789" s="1512"/>
      <c r="DO789" s="1510">
        <f t="shared" si="46"/>
        <v>0</v>
      </c>
      <c r="DP789" s="1511"/>
      <c r="DQ789" s="1511"/>
      <c r="DR789" s="1511"/>
      <c r="DS789" s="1512"/>
      <c r="DT789" s="6"/>
      <c r="DU789" s="1510">
        <f t="shared" si="47"/>
        <v>0</v>
      </c>
      <c r="DV789" s="1511"/>
      <c r="DW789" s="1511"/>
      <c r="DX789" s="1511"/>
      <c r="DY789" s="1512"/>
      <c r="DZ789" s="1510">
        <f t="shared" si="48"/>
        <v>0</v>
      </c>
      <c r="EA789" s="1511"/>
      <c r="EB789" s="1511"/>
      <c r="EC789" s="1511"/>
      <c r="ED789" s="1512"/>
      <c r="EE789" s="1510">
        <f t="shared" si="49"/>
        <v>0</v>
      </c>
      <c r="EF789" s="1511"/>
      <c r="EG789" s="1511"/>
      <c r="EH789" s="1511"/>
      <c r="EI789" s="1512"/>
      <c r="EJ789" s="1510">
        <f t="shared" si="50"/>
        <v>0</v>
      </c>
      <c r="EK789" s="1511"/>
      <c r="EL789" s="1511"/>
      <c r="EM789" s="1511"/>
      <c r="EN789" s="1512"/>
      <c r="EO789" s="1510">
        <f t="shared" si="51"/>
        <v>0</v>
      </c>
      <c r="EP789" s="1511"/>
      <c r="EQ789" s="1511"/>
      <c r="ER789" s="1511"/>
      <c r="ES789" s="1512"/>
      <c r="ET789" s="1510">
        <f t="shared" si="52"/>
        <v>0</v>
      </c>
      <c r="EU789" s="1511"/>
      <c r="EV789" s="1511"/>
      <c r="EW789" s="1511"/>
      <c r="EX789" s="1512"/>
    </row>
    <row r="790" spans="1:154" s="14" customFormat="1" ht="12.95" customHeight="1">
      <c r="A790"/>
      <c r="B790"/>
      <c r="C790"/>
      <c r="D790"/>
      <c r="E790"/>
      <c r="F790"/>
      <c r="G790"/>
      <c r="H790"/>
      <c r="I790"/>
      <c r="J790" s="1394"/>
      <c r="K790" s="1395"/>
      <c r="L790" s="1395"/>
      <c r="M790" s="1395"/>
      <c r="N790" s="1396"/>
      <c r="O790" s="1590"/>
      <c r="P790" s="1590"/>
      <c r="Q790" s="1590"/>
      <c r="R790" s="1590"/>
      <c r="S790" s="1590"/>
      <c r="T790" s="1390"/>
      <c r="U790" s="1391"/>
      <c r="V790" s="1391"/>
      <c r="W790" s="1392"/>
      <c r="X790" s="1383"/>
      <c r="Y790" s="1384"/>
      <c r="Z790" s="1384"/>
      <c r="AA790" s="1384"/>
      <c r="AB790" s="1385"/>
      <c r="AC790" s="1401">
        <f t="shared" si="40"/>
        <v>0</v>
      </c>
      <c r="AD790" s="1402"/>
      <c r="AE790" s="1402"/>
      <c r="AF790" s="1402"/>
      <c r="AG790" s="1403"/>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510">
        <f t="shared" si="41"/>
        <v>0</v>
      </c>
      <c r="CQ790" s="1511"/>
      <c r="CR790" s="1511"/>
      <c r="CS790" s="1511"/>
      <c r="CT790" s="1512"/>
      <c r="CU790" s="1510">
        <f t="shared" si="42"/>
        <v>0</v>
      </c>
      <c r="CV790" s="1511"/>
      <c r="CW790" s="1511"/>
      <c r="CX790" s="1511"/>
      <c r="CY790" s="1512"/>
      <c r="CZ790" s="1510">
        <f t="shared" si="43"/>
        <v>0</v>
      </c>
      <c r="DA790" s="1511"/>
      <c r="DB790" s="1511"/>
      <c r="DC790" s="1511"/>
      <c r="DD790" s="1512"/>
      <c r="DE790" s="1510">
        <f t="shared" si="44"/>
        <v>0</v>
      </c>
      <c r="DF790" s="1511"/>
      <c r="DG790" s="1511"/>
      <c r="DH790" s="1511"/>
      <c r="DI790" s="1512"/>
      <c r="DJ790" s="1510">
        <f t="shared" si="45"/>
        <v>0</v>
      </c>
      <c r="DK790" s="1511"/>
      <c r="DL790" s="1511"/>
      <c r="DM790" s="1511"/>
      <c r="DN790" s="1512"/>
      <c r="DO790" s="1510">
        <f t="shared" si="46"/>
        <v>0</v>
      </c>
      <c r="DP790" s="1511"/>
      <c r="DQ790" s="1511"/>
      <c r="DR790" s="1511"/>
      <c r="DS790" s="1512"/>
      <c r="DT790" s="6"/>
      <c r="DU790" s="1510">
        <f t="shared" si="47"/>
        <v>0</v>
      </c>
      <c r="DV790" s="1511"/>
      <c r="DW790" s="1511"/>
      <c r="DX790" s="1511"/>
      <c r="DY790" s="1512"/>
      <c r="DZ790" s="1510">
        <f t="shared" si="48"/>
        <v>0</v>
      </c>
      <c r="EA790" s="1511"/>
      <c r="EB790" s="1511"/>
      <c r="EC790" s="1511"/>
      <c r="ED790" s="1512"/>
      <c r="EE790" s="1510">
        <f t="shared" si="49"/>
        <v>0</v>
      </c>
      <c r="EF790" s="1511"/>
      <c r="EG790" s="1511"/>
      <c r="EH790" s="1511"/>
      <c r="EI790" s="1512"/>
      <c r="EJ790" s="1510">
        <f t="shared" si="50"/>
        <v>0</v>
      </c>
      <c r="EK790" s="1511"/>
      <c r="EL790" s="1511"/>
      <c r="EM790" s="1511"/>
      <c r="EN790" s="1512"/>
      <c r="EO790" s="1510">
        <f t="shared" si="51"/>
        <v>0</v>
      </c>
      <c r="EP790" s="1511"/>
      <c r="EQ790" s="1511"/>
      <c r="ER790" s="1511"/>
      <c r="ES790" s="1512"/>
      <c r="ET790" s="1510">
        <f t="shared" si="52"/>
        <v>0</v>
      </c>
      <c r="EU790" s="1511"/>
      <c r="EV790" s="1511"/>
      <c r="EW790" s="1511"/>
      <c r="EX790" s="1512"/>
    </row>
    <row r="791" spans="1:154" s="14" customFormat="1" ht="12.95" customHeight="1">
      <c r="A791"/>
      <c r="B791"/>
      <c r="C791"/>
      <c r="D791"/>
      <c r="E791"/>
      <c r="F791"/>
      <c r="G791"/>
      <c r="H791"/>
      <c r="I791"/>
      <c r="J791" s="1394"/>
      <c r="K791" s="1395"/>
      <c r="L791" s="1395"/>
      <c r="M791" s="1395"/>
      <c r="N791" s="1396"/>
      <c r="O791" s="1590"/>
      <c r="P791" s="1590"/>
      <c r="Q791" s="1590"/>
      <c r="R791" s="1590"/>
      <c r="S791" s="1590"/>
      <c r="T791" s="1390"/>
      <c r="U791" s="1391"/>
      <c r="V791" s="1391"/>
      <c r="W791" s="1392"/>
      <c r="X791" s="1383"/>
      <c r="Y791" s="1384"/>
      <c r="Z791" s="1384"/>
      <c r="AA791" s="1384"/>
      <c r="AB791" s="1385"/>
      <c r="AC791" s="1401">
        <f t="shared" si="40"/>
        <v>0</v>
      </c>
      <c r="AD791" s="1402"/>
      <c r="AE791" s="1402"/>
      <c r="AF791" s="1402"/>
      <c r="AG791" s="1403"/>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510">
        <f t="shared" si="41"/>
        <v>0</v>
      </c>
      <c r="CQ791" s="1511"/>
      <c r="CR791" s="1511"/>
      <c r="CS791" s="1511"/>
      <c r="CT791" s="1512"/>
      <c r="CU791" s="1510">
        <f t="shared" si="42"/>
        <v>0</v>
      </c>
      <c r="CV791" s="1511"/>
      <c r="CW791" s="1511"/>
      <c r="CX791" s="1511"/>
      <c r="CY791" s="1512"/>
      <c r="CZ791" s="1510">
        <f t="shared" si="43"/>
        <v>0</v>
      </c>
      <c r="DA791" s="1511"/>
      <c r="DB791" s="1511"/>
      <c r="DC791" s="1511"/>
      <c r="DD791" s="1512"/>
      <c r="DE791" s="1510">
        <f t="shared" si="44"/>
        <v>0</v>
      </c>
      <c r="DF791" s="1511"/>
      <c r="DG791" s="1511"/>
      <c r="DH791" s="1511"/>
      <c r="DI791" s="1512"/>
      <c r="DJ791" s="1510">
        <f t="shared" si="45"/>
        <v>0</v>
      </c>
      <c r="DK791" s="1511"/>
      <c r="DL791" s="1511"/>
      <c r="DM791" s="1511"/>
      <c r="DN791" s="1512"/>
      <c r="DO791" s="1510">
        <f t="shared" si="46"/>
        <v>0</v>
      </c>
      <c r="DP791" s="1511"/>
      <c r="DQ791" s="1511"/>
      <c r="DR791" s="1511"/>
      <c r="DS791" s="1512"/>
      <c r="DT791" s="6"/>
      <c r="DU791" s="1510">
        <f t="shared" si="47"/>
        <v>0</v>
      </c>
      <c r="DV791" s="1511"/>
      <c r="DW791" s="1511"/>
      <c r="DX791" s="1511"/>
      <c r="DY791" s="1512"/>
      <c r="DZ791" s="1510">
        <f t="shared" si="48"/>
        <v>0</v>
      </c>
      <c r="EA791" s="1511"/>
      <c r="EB791" s="1511"/>
      <c r="EC791" s="1511"/>
      <c r="ED791" s="1512"/>
      <c r="EE791" s="1510">
        <f t="shared" si="49"/>
        <v>0</v>
      </c>
      <c r="EF791" s="1511"/>
      <c r="EG791" s="1511"/>
      <c r="EH791" s="1511"/>
      <c r="EI791" s="1512"/>
      <c r="EJ791" s="1510">
        <f t="shared" si="50"/>
        <v>0</v>
      </c>
      <c r="EK791" s="1511"/>
      <c r="EL791" s="1511"/>
      <c r="EM791" s="1511"/>
      <c r="EN791" s="1512"/>
      <c r="EO791" s="1510">
        <f t="shared" si="51"/>
        <v>0</v>
      </c>
      <c r="EP791" s="1511"/>
      <c r="EQ791" s="1511"/>
      <c r="ER791" s="1511"/>
      <c r="ES791" s="1512"/>
      <c r="ET791" s="1510">
        <f t="shared" si="52"/>
        <v>0</v>
      </c>
      <c r="EU791" s="1511"/>
      <c r="EV791" s="1511"/>
      <c r="EW791" s="1511"/>
      <c r="EX791" s="1512"/>
    </row>
    <row r="792" spans="1:154" s="14" customFormat="1" ht="12.95" customHeight="1">
      <c r="A792"/>
      <c r="B792"/>
      <c r="C792"/>
      <c r="D792"/>
      <c r="E792"/>
      <c r="F792"/>
      <c r="G792"/>
      <c r="H792"/>
      <c r="I792"/>
      <c r="J792" s="1394"/>
      <c r="K792" s="1395"/>
      <c r="L792" s="1395"/>
      <c r="M792" s="1395"/>
      <c r="N792" s="1396"/>
      <c r="O792" s="1590"/>
      <c r="P792" s="1590"/>
      <c r="Q792" s="1590"/>
      <c r="R792" s="1590"/>
      <c r="S792" s="1590"/>
      <c r="T792" s="1390"/>
      <c r="U792" s="1391"/>
      <c r="V792" s="1391"/>
      <c r="W792" s="1392"/>
      <c r="X792" s="1383"/>
      <c r="Y792" s="1384"/>
      <c r="Z792" s="1384"/>
      <c r="AA792" s="1384"/>
      <c r="AB792" s="1385"/>
      <c r="AC792" s="1401">
        <f t="shared" si="40"/>
        <v>0</v>
      </c>
      <c r="AD792" s="1402"/>
      <c r="AE792" s="1402"/>
      <c r="AF792" s="1402"/>
      <c r="AG792" s="1403"/>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510">
        <f t="shared" si="41"/>
        <v>0</v>
      </c>
      <c r="CQ792" s="1511"/>
      <c r="CR792" s="1511"/>
      <c r="CS792" s="1511"/>
      <c r="CT792" s="1512"/>
      <c r="CU792" s="1510">
        <f t="shared" si="42"/>
        <v>0</v>
      </c>
      <c r="CV792" s="1511"/>
      <c r="CW792" s="1511"/>
      <c r="CX792" s="1511"/>
      <c r="CY792" s="1512"/>
      <c r="CZ792" s="1510">
        <f t="shared" si="43"/>
        <v>0</v>
      </c>
      <c r="DA792" s="1511"/>
      <c r="DB792" s="1511"/>
      <c r="DC792" s="1511"/>
      <c r="DD792" s="1512"/>
      <c r="DE792" s="1510">
        <f t="shared" si="44"/>
        <v>0</v>
      </c>
      <c r="DF792" s="1511"/>
      <c r="DG792" s="1511"/>
      <c r="DH792" s="1511"/>
      <c r="DI792" s="1512"/>
      <c r="DJ792" s="1510">
        <f t="shared" si="45"/>
        <v>0</v>
      </c>
      <c r="DK792" s="1511"/>
      <c r="DL792" s="1511"/>
      <c r="DM792" s="1511"/>
      <c r="DN792" s="1512"/>
      <c r="DO792" s="1510">
        <f t="shared" si="46"/>
        <v>0</v>
      </c>
      <c r="DP792" s="1511"/>
      <c r="DQ792" s="1511"/>
      <c r="DR792" s="1511"/>
      <c r="DS792" s="1512"/>
      <c r="DT792" s="6"/>
      <c r="DU792" s="1510">
        <f t="shared" si="47"/>
        <v>0</v>
      </c>
      <c r="DV792" s="1511"/>
      <c r="DW792" s="1511"/>
      <c r="DX792" s="1511"/>
      <c r="DY792" s="1512"/>
      <c r="DZ792" s="1510">
        <f t="shared" si="48"/>
        <v>0</v>
      </c>
      <c r="EA792" s="1511"/>
      <c r="EB792" s="1511"/>
      <c r="EC792" s="1511"/>
      <c r="ED792" s="1512"/>
      <c r="EE792" s="1510">
        <f t="shared" si="49"/>
        <v>0</v>
      </c>
      <c r="EF792" s="1511"/>
      <c r="EG792" s="1511"/>
      <c r="EH792" s="1511"/>
      <c r="EI792" s="1512"/>
      <c r="EJ792" s="1510">
        <f t="shared" si="50"/>
        <v>0</v>
      </c>
      <c r="EK792" s="1511"/>
      <c r="EL792" s="1511"/>
      <c r="EM792" s="1511"/>
      <c r="EN792" s="1512"/>
      <c r="EO792" s="1510">
        <f t="shared" si="51"/>
        <v>0</v>
      </c>
      <c r="EP792" s="1511"/>
      <c r="EQ792" s="1511"/>
      <c r="ER792" s="1511"/>
      <c r="ES792" s="1512"/>
      <c r="ET792" s="1510">
        <f t="shared" si="52"/>
        <v>0</v>
      </c>
      <c r="EU792" s="1511"/>
      <c r="EV792" s="1511"/>
      <c r="EW792" s="1511"/>
      <c r="EX792" s="1512"/>
    </row>
    <row r="793" spans="1:154" s="14" customFormat="1" ht="12.95" customHeight="1">
      <c r="A793"/>
      <c r="B793"/>
      <c r="C793"/>
      <c r="D793"/>
      <c r="E793"/>
      <c r="F793"/>
      <c r="G793"/>
      <c r="H793"/>
      <c r="I793"/>
      <c r="J793" s="1394"/>
      <c r="K793" s="1395"/>
      <c r="L793" s="1395"/>
      <c r="M793" s="1395"/>
      <c r="N793" s="1396"/>
      <c r="O793" s="1590"/>
      <c r="P793" s="1590"/>
      <c r="Q793" s="1590"/>
      <c r="R793" s="1590"/>
      <c r="S793" s="1590"/>
      <c r="T793" s="1390"/>
      <c r="U793" s="1391"/>
      <c r="V793" s="1391"/>
      <c r="W793" s="1392"/>
      <c r="X793" s="1383"/>
      <c r="Y793" s="1384"/>
      <c r="Z793" s="1384"/>
      <c r="AA793" s="1384"/>
      <c r="AB793" s="1385"/>
      <c r="AC793" s="1401">
        <f t="shared" si="40"/>
        <v>0</v>
      </c>
      <c r="AD793" s="1402"/>
      <c r="AE793" s="1402"/>
      <c r="AF793" s="1402"/>
      <c r="AG793" s="1403"/>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510">
        <f t="shared" si="41"/>
        <v>0</v>
      </c>
      <c r="CQ793" s="1511"/>
      <c r="CR793" s="1511"/>
      <c r="CS793" s="1511"/>
      <c r="CT793" s="1512"/>
      <c r="CU793" s="1510">
        <f t="shared" si="42"/>
        <v>0</v>
      </c>
      <c r="CV793" s="1511"/>
      <c r="CW793" s="1511"/>
      <c r="CX793" s="1511"/>
      <c r="CY793" s="1512"/>
      <c r="CZ793" s="1510">
        <f t="shared" si="43"/>
        <v>0</v>
      </c>
      <c r="DA793" s="1511"/>
      <c r="DB793" s="1511"/>
      <c r="DC793" s="1511"/>
      <c r="DD793" s="1512"/>
      <c r="DE793" s="1510">
        <f t="shared" si="44"/>
        <v>0</v>
      </c>
      <c r="DF793" s="1511"/>
      <c r="DG793" s="1511"/>
      <c r="DH793" s="1511"/>
      <c r="DI793" s="1512"/>
      <c r="DJ793" s="1510">
        <f t="shared" si="45"/>
        <v>0</v>
      </c>
      <c r="DK793" s="1511"/>
      <c r="DL793" s="1511"/>
      <c r="DM793" s="1511"/>
      <c r="DN793" s="1512"/>
      <c r="DO793" s="1510">
        <f t="shared" si="46"/>
        <v>0</v>
      </c>
      <c r="DP793" s="1511"/>
      <c r="DQ793" s="1511"/>
      <c r="DR793" s="1511"/>
      <c r="DS793" s="1512"/>
      <c r="DT793" s="6"/>
      <c r="DU793" s="1510">
        <f t="shared" si="47"/>
        <v>0</v>
      </c>
      <c r="DV793" s="1511"/>
      <c r="DW793" s="1511"/>
      <c r="DX793" s="1511"/>
      <c r="DY793" s="1512"/>
      <c r="DZ793" s="1510">
        <f t="shared" si="48"/>
        <v>0</v>
      </c>
      <c r="EA793" s="1511"/>
      <c r="EB793" s="1511"/>
      <c r="EC793" s="1511"/>
      <c r="ED793" s="1512"/>
      <c r="EE793" s="1510">
        <f t="shared" si="49"/>
        <v>0</v>
      </c>
      <c r="EF793" s="1511"/>
      <c r="EG793" s="1511"/>
      <c r="EH793" s="1511"/>
      <c r="EI793" s="1512"/>
      <c r="EJ793" s="1510">
        <f t="shared" si="50"/>
        <v>0</v>
      </c>
      <c r="EK793" s="1511"/>
      <c r="EL793" s="1511"/>
      <c r="EM793" s="1511"/>
      <c r="EN793" s="1512"/>
      <c r="EO793" s="1510">
        <f t="shared" si="51"/>
        <v>0</v>
      </c>
      <c r="EP793" s="1511"/>
      <c r="EQ793" s="1511"/>
      <c r="ER793" s="1511"/>
      <c r="ES793" s="1512"/>
      <c r="ET793" s="1510">
        <f t="shared" si="52"/>
        <v>0</v>
      </c>
      <c r="EU793" s="1511"/>
      <c r="EV793" s="1511"/>
      <c r="EW793" s="1511"/>
      <c r="EX793" s="1512"/>
    </row>
    <row r="794" spans="1:154" s="14" customFormat="1" ht="12.95" customHeight="1">
      <c r="A794"/>
      <c r="B794"/>
      <c r="C794"/>
      <c r="D794"/>
      <c r="E794"/>
      <c r="F794"/>
      <c r="G794"/>
      <c r="H794"/>
      <c r="I794"/>
      <c r="J794" s="1394"/>
      <c r="K794" s="1395"/>
      <c r="L794" s="1395"/>
      <c r="M794" s="1395"/>
      <c r="N794" s="1396"/>
      <c r="O794" s="1590"/>
      <c r="P794" s="1590"/>
      <c r="Q794" s="1590"/>
      <c r="R794" s="1590"/>
      <c r="S794" s="1590"/>
      <c r="T794" s="1390"/>
      <c r="U794" s="1391"/>
      <c r="V794" s="1391"/>
      <c r="W794" s="1392"/>
      <c r="X794" s="1383"/>
      <c r="Y794" s="1384"/>
      <c r="Z794" s="1384"/>
      <c r="AA794" s="1384"/>
      <c r="AB794" s="1385"/>
      <c r="AC794" s="1401">
        <f t="shared" si="40"/>
        <v>0</v>
      </c>
      <c r="AD794" s="1402"/>
      <c r="AE794" s="1402"/>
      <c r="AF794" s="1402"/>
      <c r="AG794" s="1403"/>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510">
        <f t="shared" si="41"/>
        <v>0</v>
      </c>
      <c r="CQ794" s="1511"/>
      <c r="CR794" s="1511"/>
      <c r="CS794" s="1511"/>
      <c r="CT794" s="1512"/>
      <c r="CU794" s="1510">
        <f t="shared" si="42"/>
        <v>0</v>
      </c>
      <c r="CV794" s="1511"/>
      <c r="CW794" s="1511"/>
      <c r="CX794" s="1511"/>
      <c r="CY794" s="1512"/>
      <c r="CZ794" s="1510">
        <f t="shared" si="43"/>
        <v>0</v>
      </c>
      <c r="DA794" s="1511"/>
      <c r="DB794" s="1511"/>
      <c r="DC794" s="1511"/>
      <c r="DD794" s="1512"/>
      <c r="DE794" s="1510">
        <f t="shared" si="44"/>
        <v>0</v>
      </c>
      <c r="DF794" s="1511"/>
      <c r="DG794" s="1511"/>
      <c r="DH794" s="1511"/>
      <c r="DI794" s="1512"/>
      <c r="DJ794" s="1510">
        <f t="shared" si="45"/>
        <v>0</v>
      </c>
      <c r="DK794" s="1511"/>
      <c r="DL794" s="1511"/>
      <c r="DM794" s="1511"/>
      <c r="DN794" s="1512"/>
      <c r="DO794" s="1510">
        <f t="shared" si="46"/>
        <v>0</v>
      </c>
      <c r="DP794" s="1511"/>
      <c r="DQ794" s="1511"/>
      <c r="DR794" s="1511"/>
      <c r="DS794" s="1512"/>
      <c r="DT794" s="6"/>
      <c r="DU794" s="1510">
        <f t="shared" si="47"/>
        <v>0</v>
      </c>
      <c r="DV794" s="1511"/>
      <c r="DW794" s="1511"/>
      <c r="DX794" s="1511"/>
      <c r="DY794" s="1512"/>
      <c r="DZ794" s="1510">
        <f t="shared" si="48"/>
        <v>0</v>
      </c>
      <c r="EA794" s="1511"/>
      <c r="EB794" s="1511"/>
      <c r="EC794" s="1511"/>
      <c r="ED794" s="1512"/>
      <c r="EE794" s="1510">
        <f t="shared" si="49"/>
        <v>0</v>
      </c>
      <c r="EF794" s="1511"/>
      <c r="EG794" s="1511"/>
      <c r="EH794" s="1511"/>
      <c r="EI794" s="1512"/>
      <c r="EJ794" s="1510">
        <f t="shared" si="50"/>
        <v>0</v>
      </c>
      <c r="EK794" s="1511"/>
      <c r="EL794" s="1511"/>
      <c r="EM794" s="1511"/>
      <c r="EN794" s="1512"/>
      <c r="EO794" s="1510">
        <f t="shared" si="51"/>
        <v>0</v>
      </c>
      <c r="EP794" s="1511"/>
      <c r="EQ794" s="1511"/>
      <c r="ER794" s="1511"/>
      <c r="ES794" s="1512"/>
      <c r="ET794" s="1510">
        <f t="shared" si="52"/>
        <v>0</v>
      </c>
      <c r="EU794" s="1511"/>
      <c r="EV794" s="1511"/>
      <c r="EW794" s="1511"/>
      <c r="EX794" s="1512"/>
    </row>
    <row r="795" spans="1:154" s="14" customFormat="1" ht="12.95" customHeight="1">
      <c r="A795"/>
      <c r="B795"/>
      <c r="C795"/>
      <c r="D795"/>
      <c r="E795"/>
      <c r="F795"/>
      <c r="G795"/>
      <c r="H795"/>
      <c r="I795"/>
      <c r="J795" s="1394"/>
      <c r="K795" s="1395"/>
      <c r="L795" s="1395"/>
      <c r="M795" s="1395"/>
      <c r="N795" s="1396"/>
      <c r="O795" s="1590"/>
      <c r="P795" s="1590"/>
      <c r="Q795" s="1590"/>
      <c r="R795" s="1590"/>
      <c r="S795" s="1590"/>
      <c r="T795" s="1390"/>
      <c r="U795" s="1391"/>
      <c r="V795" s="1391"/>
      <c r="W795" s="1392"/>
      <c r="X795" s="1383"/>
      <c r="Y795" s="1384"/>
      <c r="Z795" s="1384"/>
      <c r="AA795" s="1384"/>
      <c r="AB795" s="1385"/>
      <c r="AC795" s="1401">
        <f t="shared" si="40"/>
        <v>0</v>
      </c>
      <c r="AD795" s="1402"/>
      <c r="AE795" s="1402"/>
      <c r="AF795" s="1402"/>
      <c r="AG795" s="1403"/>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510">
        <f t="shared" si="41"/>
        <v>0</v>
      </c>
      <c r="CQ795" s="1511"/>
      <c r="CR795" s="1511"/>
      <c r="CS795" s="1511"/>
      <c r="CT795" s="1512"/>
      <c r="CU795" s="1510">
        <f t="shared" si="42"/>
        <v>0</v>
      </c>
      <c r="CV795" s="1511"/>
      <c r="CW795" s="1511"/>
      <c r="CX795" s="1511"/>
      <c r="CY795" s="1512"/>
      <c r="CZ795" s="1510">
        <f t="shared" si="43"/>
        <v>0</v>
      </c>
      <c r="DA795" s="1511"/>
      <c r="DB795" s="1511"/>
      <c r="DC795" s="1511"/>
      <c r="DD795" s="1512"/>
      <c r="DE795" s="1510">
        <f t="shared" si="44"/>
        <v>0</v>
      </c>
      <c r="DF795" s="1511"/>
      <c r="DG795" s="1511"/>
      <c r="DH795" s="1511"/>
      <c r="DI795" s="1512"/>
      <c r="DJ795" s="1510">
        <f t="shared" si="45"/>
        <v>0</v>
      </c>
      <c r="DK795" s="1511"/>
      <c r="DL795" s="1511"/>
      <c r="DM795" s="1511"/>
      <c r="DN795" s="1512"/>
      <c r="DO795" s="1510">
        <f t="shared" si="46"/>
        <v>0</v>
      </c>
      <c r="DP795" s="1511"/>
      <c r="DQ795" s="1511"/>
      <c r="DR795" s="1511"/>
      <c r="DS795" s="1512"/>
      <c r="DT795" s="6"/>
      <c r="DU795" s="1510">
        <f t="shared" si="47"/>
        <v>0</v>
      </c>
      <c r="DV795" s="1511"/>
      <c r="DW795" s="1511"/>
      <c r="DX795" s="1511"/>
      <c r="DY795" s="1512"/>
      <c r="DZ795" s="1510">
        <f t="shared" si="48"/>
        <v>0</v>
      </c>
      <c r="EA795" s="1511"/>
      <c r="EB795" s="1511"/>
      <c r="EC795" s="1511"/>
      <c r="ED795" s="1512"/>
      <c r="EE795" s="1510">
        <f t="shared" si="49"/>
        <v>0</v>
      </c>
      <c r="EF795" s="1511"/>
      <c r="EG795" s="1511"/>
      <c r="EH795" s="1511"/>
      <c r="EI795" s="1512"/>
      <c r="EJ795" s="1510">
        <f t="shared" si="50"/>
        <v>0</v>
      </c>
      <c r="EK795" s="1511"/>
      <c r="EL795" s="1511"/>
      <c r="EM795" s="1511"/>
      <c r="EN795" s="1512"/>
      <c r="EO795" s="1510">
        <f t="shared" si="51"/>
        <v>0</v>
      </c>
      <c r="EP795" s="1511"/>
      <c r="EQ795" s="1511"/>
      <c r="ER795" s="1511"/>
      <c r="ES795" s="1512"/>
      <c r="ET795" s="1510">
        <f t="shared" si="52"/>
        <v>0</v>
      </c>
      <c r="EU795" s="1511"/>
      <c r="EV795" s="1511"/>
      <c r="EW795" s="1511"/>
      <c r="EX795" s="1512"/>
    </row>
    <row r="796" spans="1:154" s="4" customFormat="1" ht="12.95" customHeight="1">
      <c r="A796"/>
      <c r="B796"/>
      <c r="C796"/>
      <c r="D796"/>
      <c r="E796"/>
      <c r="F796"/>
      <c r="G796"/>
      <c r="H796"/>
      <c r="I796"/>
      <c r="J796" s="1394"/>
      <c r="K796" s="1395"/>
      <c r="L796" s="1395"/>
      <c r="M796" s="1395"/>
      <c r="N796" s="1396"/>
      <c r="O796" s="1590"/>
      <c r="P796" s="1590"/>
      <c r="Q796" s="1590"/>
      <c r="R796" s="1590"/>
      <c r="S796" s="1590"/>
      <c r="T796" s="1390"/>
      <c r="U796" s="1391"/>
      <c r="V796" s="1391"/>
      <c r="W796" s="1392"/>
      <c r="X796" s="1383"/>
      <c r="Y796" s="1384"/>
      <c r="Z796" s="1384"/>
      <c r="AA796" s="1384"/>
      <c r="AB796" s="1385"/>
      <c r="AC796" s="1401">
        <f t="shared" si="40"/>
        <v>0</v>
      </c>
      <c r="AD796" s="1402"/>
      <c r="AE796" s="1402"/>
      <c r="AF796" s="1402"/>
      <c r="AG796" s="1403"/>
      <c r="AH796"/>
      <c r="AI796"/>
      <c r="AJ796"/>
      <c r="AK796"/>
      <c r="AL796"/>
      <c r="AM796"/>
      <c r="AN796"/>
      <c r="AO796"/>
      <c r="AP796"/>
      <c r="AQ796"/>
      <c r="AR796"/>
      <c r="AS796"/>
      <c r="AT796"/>
      <c r="AU796"/>
      <c r="AV796"/>
      <c r="AW796"/>
      <c r="AX796"/>
      <c r="AY796"/>
      <c r="AZ796" s="3"/>
      <c r="CP796" s="1510">
        <f t="shared" si="41"/>
        <v>0</v>
      </c>
      <c r="CQ796" s="1511"/>
      <c r="CR796" s="1511"/>
      <c r="CS796" s="1511"/>
      <c r="CT796" s="1512"/>
      <c r="CU796" s="1510">
        <f t="shared" si="42"/>
        <v>0</v>
      </c>
      <c r="CV796" s="1511"/>
      <c r="CW796" s="1511"/>
      <c r="CX796" s="1511"/>
      <c r="CY796" s="1512"/>
      <c r="CZ796" s="1510">
        <f t="shared" si="43"/>
        <v>0</v>
      </c>
      <c r="DA796" s="1511"/>
      <c r="DB796" s="1511"/>
      <c r="DC796" s="1511"/>
      <c r="DD796" s="1512"/>
      <c r="DE796" s="1510">
        <f t="shared" si="44"/>
        <v>0</v>
      </c>
      <c r="DF796" s="1511"/>
      <c r="DG796" s="1511"/>
      <c r="DH796" s="1511"/>
      <c r="DI796" s="1512"/>
      <c r="DJ796" s="1510">
        <f t="shared" si="45"/>
        <v>0</v>
      </c>
      <c r="DK796" s="1511"/>
      <c r="DL796" s="1511"/>
      <c r="DM796" s="1511"/>
      <c r="DN796" s="1512"/>
      <c r="DO796" s="1510">
        <f t="shared" si="46"/>
        <v>0</v>
      </c>
      <c r="DP796" s="1511"/>
      <c r="DQ796" s="1511"/>
      <c r="DR796" s="1511"/>
      <c r="DS796" s="1512"/>
      <c r="DT796" s="6"/>
      <c r="DU796" s="1510">
        <f t="shared" si="47"/>
        <v>0</v>
      </c>
      <c r="DV796" s="1511"/>
      <c r="DW796" s="1511"/>
      <c r="DX796" s="1511"/>
      <c r="DY796" s="1512"/>
      <c r="DZ796" s="1510">
        <f t="shared" si="48"/>
        <v>0</v>
      </c>
      <c r="EA796" s="1511"/>
      <c r="EB796" s="1511"/>
      <c r="EC796" s="1511"/>
      <c r="ED796" s="1512"/>
      <c r="EE796" s="1510">
        <f t="shared" si="49"/>
        <v>0</v>
      </c>
      <c r="EF796" s="1511"/>
      <c r="EG796" s="1511"/>
      <c r="EH796" s="1511"/>
      <c r="EI796" s="1512"/>
      <c r="EJ796" s="1510">
        <f t="shared" si="50"/>
        <v>0</v>
      </c>
      <c r="EK796" s="1511"/>
      <c r="EL796" s="1511"/>
      <c r="EM796" s="1511"/>
      <c r="EN796" s="1512"/>
      <c r="EO796" s="1510">
        <f t="shared" si="51"/>
        <v>0</v>
      </c>
      <c r="EP796" s="1511"/>
      <c r="EQ796" s="1511"/>
      <c r="ER796" s="1511"/>
      <c r="ES796" s="1512"/>
      <c r="ET796" s="1510">
        <f t="shared" si="52"/>
        <v>0</v>
      </c>
      <c r="EU796" s="1511"/>
      <c r="EV796" s="1511"/>
      <c r="EW796" s="1511"/>
      <c r="EX796" s="1512"/>
    </row>
    <row r="797" spans="1:154" s="4" customFormat="1" ht="12.95" customHeight="1">
      <c r="A797"/>
      <c r="B797"/>
      <c r="C797"/>
      <c r="D797"/>
      <c r="E797"/>
      <c r="F797"/>
      <c r="G797"/>
      <c r="H797"/>
      <c r="I797"/>
      <c r="J797" s="1502" t="s">
        <v>125</v>
      </c>
      <c r="K797" s="1503"/>
      <c r="L797" s="1503"/>
      <c r="M797" s="1503"/>
      <c r="N797" s="1504"/>
      <c r="O797" s="1725">
        <f>SUM(O787:S796)</f>
        <v>0</v>
      </c>
      <c r="P797" s="1725"/>
      <c r="Q797" s="1725"/>
      <c r="R797" s="1725"/>
      <c r="S797" s="1725"/>
      <c r="T797"/>
      <c r="U797"/>
      <c r="V797"/>
      <c r="W797"/>
      <c r="X797" s="902" t="s">
        <v>124</v>
      </c>
      <c r="Y797" s="11"/>
      <c r="Z797" s="11"/>
      <c r="AA797" s="11"/>
      <c r="AB797" s="909"/>
      <c r="AC797" s="1401">
        <f>SUM(AC787:AG796)</f>
        <v>0</v>
      </c>
      <c r="AD797" s="1402"/>
      <c r="AE797" s="1402"/>
      <c r="AF797" s="1402"/>
      <c r="AG797" s="1403"/>
      <c r="AH797"/>
      <c r="AI797"/>
      <c r="AJ797"/>
      <c r="AK797"/>
      <c r="AL797"/>
      <c r="AM797"/>
      <c r="AN797"/>
      <c r="AO797"/>
      <c r="AP797"/>
      <c r="AQ797"/>
      <c r="AR797"/>
      <c r="AS797"/>
      <c r="AT797"/>
      <c r="AU797"/>
      <c r="AV797"/>
      <c r="AW797"/>
      <c r="AX797"/>
      <c r="AY797"/>
      <c r="AZ797" s="3"/>
      <c r="BA797"/>
      <c r="CP797" s="1508">
        <f>SUM(CP787:CT796)</f>
        <v>0</v>
      </c>
      <c r="CQ797" s="1513"/>
      <c r="CR797" s="1513"/>
      <c r="CS797" s="1513"/>
      <c r="CT797" s="1509"/>
      <c r="CU797" s="1514">
        <f>SUM(CU787:CY796)</f>
        <v>0</v>
      </c>
      <c r="CV797" s="1515"/>
      <c r="CW797" s="1515"/>
      <c r="CX797" s="1515"/>
      <c r="CY797" s="1516"/>
      <c r="CZ797" s="1514">
        <f>SUM(CZ787:DD796)</f>
        <v>0</v>
      </c>
      <c r="DA797" s="1515"/>
      <c r="DB797" s="1515"/>
      <c r="DC797" s="1515"/>
      <c r="DD797" s="1516"/>
      <c r="DE797" s="1514">
        <f>SUM(DE787:DI796)</f>
        <v>0</v>
      </c>
      <c r="DF797" s="1515"/>
      <c r="DG797" s="1515"/>
      <c r="DH797" s="1515"/>
      <c r="DI797" s="1516"/>
      <c r="DJ797" s="1514">
        <f>SUM(DJ787:DN796)</f>
        <v>0</v>
      </c>
      <c r="DK797" s="1515"/>
      <c r="DL797" s="1515"/>
      <c r="DM797" s="1515"/>
      <c r="DN797" s="1516"/>
      <c r="DO797" s="1514">
        <f>SUM(DO787:DS796)</f>
        <v>0</v>
      </c>
      <c r="DP797" s="1515"/>
      <c r="DQ797" s="1515"/>
      <c r="DR797" s="1515"/>
      <c r="DS797" s="1516"/>
      <c r="DT797" s="1012"/>
      <c r="DU797" s="1508">
        <f>SUM(DU787:DY796)</f>
        <v>0</v>
      </c>
      <c r="DV797" s="1513"/>
      <c r="DW797" s="1513"/>
      <c r="DX797" s="1513"/>
      <c r="DY797" s="1509"/>
      <c r="DZ797" s="1508">
        <f>SUM(DZ787:ED796)</f>
        <v>0</v>
      </c>
      <c r="EA797" s="1513"/>
      <c r="EB797" s="1513"/>
      <c r="EC797" s="1513"/>
      <c r="ED797" s="1509"/>
      <c r="EE797" s="1508">
        <f>SUM(EE787:EI796)</f>
        <v>0</v>
      </c>
      <c r="EF797" s="1513"/>
      <c r="EG797" s="1513"/>
      <c r="EH797" s="1513"/>
      <c r="EI797" s="1509"/>
      <c r="EJ797" s="1508">
        <f>SUM(EJ787:EN796)</f>
        <v>0</v>
      </c>
      <c r="EK797" s="1513"/>
      <c r="EL797" s="1513"/>
      <c r="EM797" s="1513"/>
      <c r="EN797" s="1509"/>
      <c r="EO797" s="1508">
        <f>SUM(EO787:ES796)</f>
        <v>0</v>
      </c>
      <c r="EP797" s="1513"/>
      <c r="EQ797" s="1513"/>
      <c r="ER797" s="1513"/>
      <c r="ES797" s="1509"/>
      <c r="ET797" s="1508">
        <f>SUM(ET787:EX796)</f>
        <v>0</v>
      </c>
      <c r="EU797" s="1513"/>
      <c r="EV797" s="1513"/>
      <c r="EW797" s="1513"/>
      <c r="EX797" s="1509"/>
    </row>
    <row r="798" spans="1:154" s="4" customFormat="1" ht="12.95" customHeight="1">
      <c r="A798"/>
      <c r="B798"/>
      <c r="C798" s="1726" t="str">
        <f>IF(O797&lt;&gt;AG438,"! Total market rate units in the Unit Mix Table above does not match the number of  market rate units on row #"&amp;TEXT(ROW(D438),"#"),"")</f>
        <v/>
      </c>
      <c r="D798" s="1726"/>
      <c r="E798" s="1726"/>
      <c r="F798" s="1726"/>
      <c r="G798" s="1726"/>
      <c r="H798" s="1726"/>
      <c r="I798" s="1726"/>
      <c r="J798" s="1726"/>
      <c r="K798" s="1726"/>
      <c r="L798" s="1726"/>
      <c r="M798" s="1726"/>
      <c r="N798" s="1726"/>
      <c r="O798" s="1726"/>
      <c r="P798" s="1726"/>
      <c r="Q798" s="1726"/>
      <c r="R798" s="1726"/>
      <c r="S798" s="1726"/>
      <c r="T798" s="1726"/>
      <c r="U798" s="1726"/>
      <c r="V798" s="1726"/>
      <c r="W798" s="1726"/>
      <c r="X798" s="1726"/>
      <c r="Y798" s="1726"/>
      <c r="Z798" s="1726"/>
      <c r="AA798" s="1726"/>
      <c r="AB798" s="1726"/>
      <c r="AC798" s="1726"/>
      <c r="AD798" s="1726"/>
      <c r="AE798" s="1726"/>
      <c r="AF798" s="1726"/>
      <c r="AG798" s="1726"/>
      <c r="AH798" s="1726"/>
      <c r="AI798" s="1726"/>
      <c r="AJ798" s="1726"/>
      <c r="AK798" s="1726"/>
      <c r="AL798" s="1726"/>
      <c r="AM798" s="1726"/>
      <c r="AN798" s="1726"/>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5" customHeight="1">
      <c r="A799"/>
      <c r="B799"/>
      <c r="C799" s="1726"/>
      <c r="D799" s="1726"/>
      <c r="E799" s="1726"/>
      <c r="F799" s="1726"/>
      <c r="G799" s="1726"/>
      <c r="H799" s="1726"/>
      <c r="I799" s="1726"/>
      <c r="J799" s="1726"/>
      <c r="K799" s="1726"/>
      <c r="L799" s="1726"/>
      <c r="M799" s="1726"/>
      <c r="N799" s="1726"/>
      <c r="O799" s="1726"/>
      <c r="P799" s="1726"/>
      <c r="Q799" s="1726"/>
      <c r="R799" s="1726"/>
      <c r="S799" s="1726"/>
      <c r="T799" s="1726"/>
      <c r="U799" s="1726"/>
      <c r="V799" s="1726"/>
      <c r="W799" s="1726"/>
      <c r="X799" s="1726"/>
      <c r="Y799" s="1726"/>
      <c r="Z799" s="1726"/>
      <c r="AA799" s="1726"/>
      <c r="AB799" s="1726"/>
      <c r="AC799" s="1726"/>
      <c r="AD799" s="1726"/>
      <c r="AE799" s="1726"/>
      <c r="AF799" s="1726"/>
      <c r="AG799" s="1726"/>
      <c r="AH799" s="1726"/>
      <c r="AI799" s="1726"/>
      <c r="AJ799" s="1726"/>
      <c r="AK799" s="1726"/>
      <c r="AL799" s="1726"/>
      <c r="AM799" s="1726"/>
      <c r="AN799" s="1726"/>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1858</v>
      </c>
      <c r="DW799" s="3"/>
      <c r="DX799" s="3"/>
      <c r="DY799" s="3"/>
      <c r="DZ799" s="3"/>
      <c r="EA799" s="3"/>
      <c r="EB799" s="3"/>
      <c r="EC799" s="3"/>
      <c r="ED799" s="3"/>
      <c r="EE799" s="3"/>
      <c r="EF799" s="3"/>
      <c r="EG799" s="3"/>
      <c r="EH799" s="3"/>
      <c r="EI799"/>
      <c r="EJ799"/>
      <c r="EK799"/>
      <c r="EL799"/>
      <c r="EM799"/>
      <c r="EN799"/>
      <c r="EO799"/>
      <c r="EP799"/>
      <c r="EQ799"/>
      <c r="ER799"/>
      <c r="ES799" s="56" t="s">
        <v>1867</v>
      </c>
      <c r="ET799" s="1854">
        <f>SUM(DU797:EX797)</f>
        <v>0</v>
      </c>
      <c r="EU799" s="1855"/>
      <c r="EV799" s="1855"/>
      <c r="EW799" s="1855"/>
      <c r="EX799" s="1856"/>
    </row>
    <row r="800" spans="1:154"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648">
        <f>O753+AC777+AC797</f>
        <v>503559</v>
      </c>
      <c r="Z800" s="1648"/>
      <c r="AA800" s="1648"/>
      <c r="AB800" s="1648"/>
      <c r="AC800" s="1648"/>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1629</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648">
        <f>(O753+AC777+AC797)*12</f>
        <v>6042708</v>
      </c>
      <c r="Z801" s="1648"/>
      <c r="AA801" s="1648"/>
      <c r="AB801" s="1648"/>
      <c r="AC801" s="1648"/>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514">
        <f>CP753+CP777+CP797</f>
        <v>74</v>
      </c>
      <c r="CQ802" s="1515"/>
      <c r="CR802" s="1515"/>
      <c r="CS802" s="1515"/>
      <c r="CT802" s="1516"/>
      <c r="CU802" s="1514">
        <f>CU753+CU777+CU797</f>
        <v>160</v>
      </c>
      <c r="CV802" s="1515"/>
      <c r="CW802" s="1515"/>
      <c r="CX802" s="1515"/>
      <c r="CY802" s="1516"/>
      <c r="CZ802" s="1514">
        <f>CZ753+CZ777+CZ797</f>
        <v>23</v>
      </c>
      <c r="DA802" s="1515"/>
      <c r="DB802" s="1515"/>
      <c r="DC802" s="1515"/>
      <c r="DD802" s="1516"/>
      <c r="DE802" s="1514">
        <f>DE753+DE777+DE797</f>
        <v>15</v>
      </c>
      <c r="DF802" s="1515"/>
      <c r="DG802" s="1515"/>
      <c r="DH802" s="1515"/>
      <c r="DI802" s="1516"/>
      <c r="DJ802" s="1514">
        <f>DJ753+DJ777+DJ797</f>
        <v>0</v>
      </c>
      <c r="DK802" s="1515"/>
      <c r="DL802" s="1515"/>
      <c r="DM802" s="1515"/>
      <c r="DN802" s="1516"/>
      <c r="DO802" s="1523">
        <f>DO797+DO777+DO753</f>
        <v>0</v>
      </c>
      <c r="DP802" s="1524"/>
      <c r="DQ802" s="1524"/>
      <c r="DR802" s="1524"/>
      <c r="DS802" s="1525"/>
      <c r="DT802" s="3"/>
      <c r="DU802" s="861">
        <f>DU755+DU800</f>
        <v>319</v>
      </c>
      <c r="DV802" s="57" t="s">
        <v>1863</v>
      </c>
    </row>
    <row r="803" spans="1:126" s="4" customFormat="1" ht="12.95" customHeight="1">
      <c r="A803" s="2" t="s">
        <v>589</v>
      </c>
      <c r="B803" s="2"/>
      <c r="C803" s="2" t="s">
        <v>612</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5" customHeight="1">
      <c r="A804" s="2"/>
      <c r="B804" s="2"/>
      <c r="C804" s="2" t="s">
        <v>916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2.95" customHeight="1">
      <c r="A806"/>
      <c r="B806"/>
      <c r="C806"/>
      <c r="D806"/>
      <c r="E806"/>
      <c r="F806"/>
      <c r="G806"/>
      <c r="H806" s="45" t="s">
        <v>356</v>
      </c>
      <c r="I806" s="5"/>
      <c r="J806" s="5"/>
      <c r="K806" s="5"/>
      <c r="L806" s="5"/>
      <c r="M806" s="5"/>
      <c r="N806" s="5"/>
      <c r="O806" s="5"/>
      <c r="P806" s="5"/>
      <c r="Q806" s="5"/>
      <c r="R806" s="5"/>
      <c r="S806" s="5"/>
      <c r="T806" s="5"/>
      <c r="U806" s="5"/>
      <c r="V806" s="5"/>
      <c r="W806" s="5"/>
      <c r="X806" s="5"/>
      <c r="Y806" s="5"/>
      <c r="Z806" s="1350">
        <v>0</v>
      </c>
      <c r="AA806" s="1351"/>
      <c r="AB806" s="1351"/>
      <c r="AC806" s="1351"/>
      <c r="AD806" s="1351"/>
      <c r="AE806" s="1352"/>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2.95" customHeight="1">
      <c r="A807"/>
      <c r="B807"/>
      <c r="C807"/>
      <c r="D807"/>
      <c r="E807"/>
      <c r="F807"/>
      <c r="G807"/>
      <c r="H807" s="45" t="s">
        <v>357</v>
      </c>
      <c r="I807" s="5"/>
      <c r="J807" s="5"/>
      <c r="K807" s="5"/>
      <c r="L807" s="5"/>
      <c r="M807" s="5"/>
      <c r="N807" s="5"/>
      <c r="O807" s="5"/>
      <c r="P807" s="5"/>
      <c r="Q807" s="5"/>
      <c r="R807" s="5"/>
      <c r="S807" s="5"/>
      <c r="T807" s="5"/>
      <c r="U807" s="5"/>
      <c r="V807" s="5"/>
      <c r="W807" s="5"/>
      <c r="X807" s="5"/>
      <c r="Y807" s="5"/>
      <c r="Z807" s="1728"/>
      <c r="AA807" s="1351"/>
      <c r="AB807" s="1351"/>
      <c r="AC807" s="1351"/>
      <c r="AD807" s="1351"/>
      <c r="AE807" s="1352"/>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24">
        <v>0</v>
      </c>
      <c r="AA808" s="1570"/>
      <c r="AB808" s="1570"/>
      <c r="AC808" s="1570"/>
      <c r="AD808" s="1570"/>
      <c r="AE808" s="1571"/>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386">
        <f>'Subsidy Contract Calculation'!J40</f>
        <v>0</v>
      </c>
      <c r="AA809" s="1387"/>
      <c r="AB809" s="1387"/>
      <c r="AC809" s="1387"/>
      <c r="AD809" s="1387"/>
      <c r="AE809" s="1388"/>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2.95" customHeight="1">
      <c r="A811" s="2" t="s">
        <v>590</v>
      </c>
      <c r="B811" s="2"/>
      <c r="C811" s="2" t="s">
        <v>287</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17">
        <v>15000</v>
      </c>
      <c r="AA813" s="1518"/>
      <c r="AB813" s="1518"/>
      <c r="AC813" s="1518"/>
      <c r="AD813" s="1518"/>
      <c r="AE813" s="1519"/>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17">
        <v>2500</v>
      </c>
      <c r="AA814" s="1518"/>
      <c r="AB814" s="1518"/>
      <c r="AC814" s="1518"/>
      <c r="AD814" s="1518"/>
      <c r="AE814" s="1519"/>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17">
        <v>0</v>
      </c>
      <c r="AA815" s="1518"/>
      <c r="AB815" s="1518"/>
      <c r="AC815" s="1518"/>
      <c r="AD815" s="1518"/>
      <c r="AE815" s="1519"/>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2.95" customHeight="1">
      <c r="A816"/>
      <c r="B816"/>
      <c r="C816"/>
      <c r="D816"/>
      <c r="E816"/>
      <c r="F816"/>
      <c r="G816"/>
      <c r="H816" s="45" t="s">
        <v>39</v>
      </c>
      <c r="I816" s="5"/>
      <c r="J816" s="5"/>
      <c r="K816" s="5"/>
      <c r="L816" s="5"/>
      <c r="M816" s="5"/>
      <c r="N816" s="5"/>
      <c r="O816" s="5"/>
      <c r="P816" s="1604" t="s">
        <v>2710</v>
      </c>
      <c r="Q816" s="1605"/>
      <c r="R816" s="1605"/>
      <c r="S816" s="1605"/>
      <c r="T816" s="1605"/>
      <c r="U816" s="1605"/>
      <c r="V816" s="1605"/>
      <c r="W816" s="1605"/>
      <c r="X816" s="1605"/>
      <c r="Y816" s="1606"/>
      <c r="Z816" s="1517">
        <f>15000+20000+8000+6000+7500</f>
        <v>56500</v>
      </c>
      <c r="AA816" s="1518"/>
      <c r="AB816" s="1518"/>
      <c r="AC816" s="1518"/>
      <c r="AD816" s="1518"/>
      <c r="AE816" s="1519"/>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386">
        <f>SUM(Z813:AE816)</f>
        <v>74000</v>
      </c>
      <c r="AA817" s="1387"/>
      <c r="AB817" s="1387"/>
      <c r="AC817" s="1387"/>
      <c r="AD817" s="1387"/>
      <c r="AE817" s="1388"/>
      <c r="AF817"/>
      <c r="AG817"/>
      <c r="AH817"/>
      <c r="AI817"/>
      <c r="AJ817"/>
      <c r="AK817"/>
      <c r="AL817"/>
      <c r="AM817"/>
      <c r="AN817"/>
      <c r="AO817"/>
      <c r="AP817"/>
      <c r="AQ817"/>
      <c r="AR817"/>
      <c r="AS817"/>
      <c r="AT817"/>
      <c r="AU817" s="3"/>
      <c r="AV817"/>
      <c r="AW817"/>
      <c r="AX817"/>
      <c r="AY817"/>
      <c r="AZ817" s="30"/>
      <c r="BA817" s="30"/>
      <c r="BB817" s="14"/>
      <c r="BC817" s="14"/>
    </row>
    <row r="818" spans="1:55"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644</v>
      </c>
      <c r="Z818" s="1386">
        <f>Z817+Y801+Z809</f>
        <v>6116708</v>
      </c>
      <c r="AA818" s="1387"/>
      <c r="AB818" s="1387"/>
      <c r="AC818" s="1387"/>
      <c r="AD818" s="1387"/>
      <c r="AE818" s="1388"/>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2.95" customHeight="1">
      <c r="A820" s="2" t="s">
        <v>592</v>
      </c>
      <c r="B820" s="2"/>
      <c r="C820" s="2" t="s">
        <v>424</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2.95" customHeight="1">
      <c r="A821"/>
      <c r="B821"/>
      <c r="C821" s="22" t="s">
        <v>817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2.95" customHeight="1">
      <c r="A823"/>
      <c r="B823"/>
      <c r="C823" s="41"/>
      <c r="D823" s="42"/>
      <c r="E823" s="42"/>
      <c r="F823" s="42"/>
      <c r="G823" s="42"/>
      <c r="H823" s="42"/>
      <c r="I823" s="42"/>
      <c r="J823" s="42"/>
      <c r="K823" s="42"/>
      <c r="L823" s="58"/>
      <c r="M823" s="1547" t="s">
        <v>126</v>
      </c>
      <c r="N823" s="1547"/>
      <c r="O823" s="1547"/>
      <c r="P823" s="1729"/>
      <c r="Q823" s="1603" t="s">
        <v>289</v>
      </c>
      <c r="R823" s="1603"/>
      <c r="S823" s="1603"/>
      <c r="T823" s="1603"/>
      <c r="U823" s="1603" t="s">
        <v>290</v>
      </c>
      <c r="V823" s="1603"/>
      <c r="W823" s="1603"/>
      <c r="X823" s="1603"/>
      <c r="Y823" s="1603" t="s">
        <v>291</v>
      </c>
      <c r="Z823" s="1603"/>
      <c r="AA823" s="1603"/>
      <c r="AB823" s="1603"/>
      <c r="AC823" s="1603" t="s">
        <v>360</v>
      </c>
      <c r="AD823" s="1603"/>
      <c r="AE823" s="1603"/>
      <c r="AF823" s="1603"/>
      <c r="AG823" s="1727" t="s">
        <v>334</v>
      </c>
      <c r="AH823" s="1727"/>
      <c r="AI823" s="1727"/>
      <c r="AJ823" s="1727"/>
      <c r="AK823"/>
      <c r="AL823" s="3"/>
      <c r="AM823" s="3"/>
      <c r="AN823" s="3"/>
      <c r="AO823" s="3"/>
      <c r="AP823" s="3"/>
      <c r="AQ823" s="3"/>
      <c r="AR823" s="3"/>
      <c r="AS823" s="3"/>
      <c r="AT823" s="3"/>
      <c r="AU823" s="3"/>
      <c r="AV823" s="3"/>
      <c r="AW823" s="3"/>
      <c r="AX823" s="3"/>
      <c r="AY823" s="3"/>
      <c r="AZ823" s="30"/>
      <c r="BA823" s="30"/>
      <c r="BB823" s="14"/>
      <c r="BC823" s="14"/>
    </row>
    <row r="824" spans="1:55" s="14" customFormat="1" ht="12.95" customHeight="1">
      <c r="A824"/>
      <c r="B824"/>
      <c r="C824" s="47"/>
      <c r="D824" s="48"/>
      <c r="E824" s="48"/>
      <c r="F824" s="48"/>
      <c r="G824" s="48"/>
      <c r="H824" s="48"/>
      <c r="I824" s="48"/>
      <c r="J824" s="48"/>
      <c r="K824" s="48"/>
      <c r="L824" s="49"/>
      <c r="M824" s="1551"/>
      <c r="N824" s="1551"/>
      <c r="O824" s="1551"/>
      <c r="P824" s="1611"/>
      <c r="Q824" s="1603"/>
      <c r="R824" s="1603"/>
      <c r="S824" s="1603"/>
      <c r="T824" s="1603"/>
      <c r="U824" s="1603"/>
      <c r="V824" s="1603"/>
      <c r="W824" s="1603"/>
      <c r="X824" s="1603"/>
      <c r="Y824" s="1603"/>
      <c r="Z824" s="1603"/>
      <c r="AA824" s="1603"/>
      <c r="AB824" s="1603"/>
      <c r="AC824" s="1603"/>
      <c r="AD824" s="1603"/>
      <c r="AE824" s="1603"/>
      <c r="AF824" s="1603"/>
      <c r="AG824" s="1727"/>
      <c r="AH824" s="1727"/>
      <c r="AI824" s="1727"/>
      <c r="AJ824" s="1727"/>
      <c r="AK824"/>
      <c r="AL824" s="3"/>
      <c r="AM824" s="3"/>
      <c r="AN824" s="3"/>
      <c r="AO824" s="3"/>
      <c r="AP824" s="3"/>
      <c r="AQ824" s="3"/>
      <c r="AR824" s="3"/>
      <c r="AS824" s="3"/>
      <c r="AT824" s="3"/>
      <c r="AU824"/>
      <c r="AV824" s="3"/>
      <c r="AW824" s="3"/>
      <c r="AX824" s="3"/>
      <c r="AY824" s="3"/>
      <c r="AZ824" s="30"/>
      <c r="BA824" s="30"/>
    </row>
    <row r="825" spans="1:55" s="14" customFormat="1" ht="12.95" customHeight="1">
      <c r="A825"/>
      <c r="B825"/>
      <c r="C825" s="1407" t="s">
        <v>40</v>
      </c>
      <c r="D825" s="1389"/>
      <c r="E825" s="1389"/>
      <c r="F825" s="1389"/>
      <c r="G825" s="1389"/>
      <c r="H825" s="1389"/>
      <c r="I825" s="48"/>
      <c r="J825" s="48"/>
      <c r="K825" s="48"/>
      <c r="L825" s="49"/>
      <c r="M825" s="1633"/>
      <c r="N825" s="1633"/>
      <c r="O825" s="1633"/>
      <c r="P825" s="1633"/>
      <c r="Q825" s="1633"/>
      <c r="R825" s="1633"/>
      <c r="S825" s="1633"/>
      <c r="T825" s="1633"/>
      <c r="U825" s="1633"/>
      <c r="V825" s="1633"/>
      <c r="W825" s="1633"/>
      <c r="X825" s="1633"/>
      <c r="Y825" s="1633"/>
      <c r="Z825" s="1633"/>
      <c r="AA825" s="1633"/>
      <c r="AB825" s="1633"/>
      <c r="AC825" s="1520"/>
      <c r="AD825" s="1521"/>
      <c r="AE825" s="1521"/>
      <c r="AF825" s="1522"/>
      <c r="AG825" s="1520"/>
      <c r="AH825" s="1521"/>
      <c r="AI825" s="1521"/>
      <c r="AJ825" s="1522"/>
      <c r="AK825"/>
      <c r="AL825" s="3"/>
      <c r="AM825" s="3"/>
      <c r="AN825" s="3"/>
      <c r="AO825" s="3"/>
      <c r="AP825" s="3"/>
      <c r="AQ825" s="3"/>
      <c r="AR825" s="3"/>
      <c r="AS825" s="3"/>
      <c r="AT825" s="3"/>
      <c r="AU825"/>
      <c r="AV825" s="3"/>
      <c r="AW825" s="3"/>
      <c r="AX825" s="3"/>
      <c r="AY825" s="3"/>
      <c r="AZ825" s="30"/>
      <c r="BA825" s="30"/>
    </row>
    <row r="826" spans="1:55" s="14" customFormat="1" ht="12.95" customHeight="1">
      <c r="A826"/>
      <c r="B826"/>
      <c r="C826" s="1646" t="s">
        <v>41</v>
      </c>
      <c r="D826" s="1647"/>
      <c r="E826" s="1647"/>
      <c r="F826" s="1647"/>
      <c r="G826" s="1647"/>
      <c r="H826" s="1647"/>
      <c r="I826" s="5"/>
      <c r="J826" s="5"/>
      <c r="K826" s="5"/>
      <c r="L826" s="46"/>
      <c r="M826" s="1633"/>
      <c r="N826" s="1633"/>
      <c r="O826" s="1633"/>
      <c r="P826" s="1633"/>
      <c r="Q826" s="1633"/>
      <c r="R826" s="1633"/>
      <c r="S826" s="1633"/>
      <c r="T826" s="1633"/>
      <c r="U826" s="1633"/>
      <c r="V826" s="1633"/>
      <c r="W826" s="1633"/>
      <c r="X826" s="1633"/>
      <c r="Y826" s="1633"/>
      <c r="Z826" s="1633"/>
      <c r="AA826" s="1633"/>
      <c r="AB826" s="1633"/>
      <c r="AC826" s="1520"/>
      <c r="AD826" s="1521"/>
      <c r="AE826" s="1521"/>
      <c r="AF826" s="1522"/>
      <c r="AG826" s="1520"/>
      <c r="AH826" s="1521"/>
      <c r="AI826" s="1521"/>
      <c r="AJ826" s="1522"/>
      <c r="AK826"/>
      <c r="AL826" s="3"/>
      <c r="AM826" s="3"/>
      <c r="AN826" s="3"/>
      <c r="AO826" s="3"/>
      <c r="AP826" s="3"/>
      <c r="AQ826" s="3"/>
      <c r="AR826" s="3"/>
      <c r="AS826" s="3"/>
      <c r="AT826" s="3"/>
      <c r="AU826"/>
      <c r="AV826" s="3"/>
      <c r="AW826" s="3"/>
      <c r="AX826" s="3"/>
      <c r="AY826" s="3"/>
      <c r="AZ826" s="30"/>
      <c r="BA826" s="30"/>
    </row>
    <row r="827" spans="1:55" s="14" customFormat="1" ht="12.95" customHeight="1">
      <c r="A827"/>
      <c r="B827"/>
      <c r="C827" s="1646" t="s">
        <v>42</v>
      </c>
      <c r="D827" s="1647"/>
      <c r="E827" s="1647"/>
      <c r="F827" s="1647"/>
      <c r="G827" s="1647"/>
      <c r="H827" s="1647"/>
      <c r="I827" s="60"/>
      <c r="J827" s="60"/>
      <c r="K827" s="60"/>
      <c r="L827" s="61"/>
      <c r="M827" s="1633"/>
      <c r="N827" s="1633"/>
      <c r="O827" s="1633"/>
      <c r="P827" s="1633"/>
      <c r="Q827" s="1633"/>
      <c r="R827" s="1633"/>
      <c r="S827" s="1633"/>
      <c r="T827" s="1633"/>
      <c r="U827" s="1633"/>
      <c r="V827" s="1633"/>
      <c r="W827" s="1633"/>
      <c r="X827" s="1633"/>
      <c r="Y827" s="1633"/>
      <c r="Z827" s="1633"/>
      <c r="AA827" s="1633"/>
      <c r="AB827" s="1633"/>
      <c r="AC827" s="1520"/>
      <c r="AD827" s="1521"/>
      <c r="AE827" s="1521"/>
      <c r="AF827" s="1522"/>
      <c r="AG827" s="1520"/>
      <c r="AH827" s="1521"/>
      <c r="AI827" s="1521"/>
      <c r="AJ827" s="1522"/>
      <c r="AK827"/>
      <c r="AL827" s="3"/>
      <c r="AM827" s="3"/>
      <c r="AN827" s="3"/>
      <c r="AO827" s="3"/>
      <c r="AP827" s="3"/>
      <c r="AQ827" s="3"/>
      <c r="AR827" s="3"/>
      <c r="AS827" s="3"/>
      <c r="AT827" s="3"/>
      <c r="AU827"/>
      <c r="AV827" s="3"/>
      <c r="AW827" s="3"/>
      <c r="AX827" s="3"/>
      <c r="AY827" s="3"/>
      <c r="AZ827" s="30"/>
      <c r="BA827" s="30"/>
    </row>
    <row r="828" spans="1:55" s="14" customFormat="1" ht="12.95" customHeight="1">
      <c r="A828"/>
      <c r="B828"/>
      <c r="C828" s="1646" t="s">
        <v>762</v>
      </c>
      <c r="D828" s="1647"/>
      <c r="E828" s="1647"/>
      <c r="F828" s="1647"/>
      <c r="G828" s="1647"/>
      <c r="H828" s="1647"/>
      <c r="I828" s="60"/>
      <c r="J828" s="60"/>
      <c r="K828" s="60"/>
      <c r="L828" s="61"/>
      <c r="M828" s="1633"/>
      <c r="N828" s="1633"/>
      <c r="O828" s="1633"/>
      <c r="P828" s="1633"/>
      <c r="Q828" s="1633"/>
      <c r="R828" s="1633"/>
      <c r="S828" s="1633"/>
      <c r="T828" s="1633"/>
      <c r="U828" s="1633"/>
      <c r="V828" s="1633"/>
      <c r="W828" s="1633"/>
      <c r="X828" s="1633"/>
      <c r="Y828" s="1633"/>
      <c r="Z828" s="1633"/>
      <c r="AA828" s="1633"/>
      <c r="AB828" s="1633"/>
      <c r="AC828" s="1520"/>
      <c r="AD828" s="1521"/>
      <c r="AE828" s="1521"/>
      <c r="AF828" s="1522"/>
      <c r="AG828" s="1520"/>
      <c r="AH828" s="1521"/>
      <c r="AI828" s="1521"/>
      <c r="AJ828" s="1522"/>
      <c r="AK828"/>
      <c r="AL828" s="3"/>
      <c r="AM828" s="3"/>
      <c r="AN828" s="3"/>
      <c r="AO828" s="3"/>
      <c r="AP828" s="3"/>
      <c r="AQ828" s="3"/>
      <c r="AR828" s="3"/>
      <c r="AS828" s="3"/>
      <c r="AT828" s="3"/>
      <c r="AU828"/>
      <c r="AV828" s="3"/>
      <c r="AW828" s="3"/>
      <c r="AX828" s="3"/>
      <c r="AY828" s="3"/>
      <c r="AZ828" s="30"/>
      <c r="BA828" s="30"/>
    </row>
    <row r="829" spans="1:55" s="14" customFormat="1" ht="12.95" customHeight="1">
      <c r="A829"/>
      <c r="B829"/>
      <c r="C829" s="1646" t="s">
        <v>459</v>
      </c>
      <c r="D829" s="1647"/>
      <c r="E829" s="1647"/>
      <c r="F829" s="1647"/>
      <c r="G829" s="1647"/>
      <c r="H829" s="1647"/>
      <c r="I829" s="60"/>
      <c r="J829" s="60"/>
      <c r="K829" s="60"/>
      <c r="L829" s="61"/>
      <c r="M829" s="1633"/>
      <c r="N829" s="1633"/>
      <c r="O829" s="1633"/>
      <c r="P829" s="1633"/>
      <c r="Q829" s="1633"/>
      <c r="R829" s="1633"/>
      <c r="S829" s="1633"/>
      <c r="T829" s="1633"/>
      <c r="U829" s="1633"/>
      <c r="V829" s="1633"/>
      <c r="W829" s="1633"/>
      <c r="X829" s="1633"/>
      <c r="Y829" s="1633"/>
      <c r="Z829" s="1633"/>
      <c r="AA829" s="1633"/>
      <c r="AB829" s="1633"/>
      <c r="AC829" s="1520"/>
      <c r="AD829" s="1521"/>
      <c r="AE829" s="1521"/>
      <c r="AF829" s="1522"/>
      <c r="AG829" s="1520"/>
      <c r="AH829" s="1521"/>
      <c r="AI829" s="1521"/>
      <c r="AJ829" s="1522"/>
      <c r="AK829"/>
      <c r="AL829" s="3"/>
      <c r="AM829" s="3"/>
      <c r="AN829" s="3"/>
      <c r="AO829" s="3"/>
      <c r="AP829" s="3"/>
      <c r="AQ829" s="3"/>
      <c r="AR829" s="3"/>
      <c r="AS829" s="3"/>
      <c r="AT829" s="3"/>
      <c r="AU829"/>
      <c r="AV829" s="3"/>
      <c r="AW829" s="3"/>
      <c r="AX829" s="3"/>
      <c r="AY829" s="3"/>
      <c r="AZ829" s="30"/>
      <c r="BA829" s="30"/>
    </row>
    <row r="830" spans="1:55" s="14" customFormat="1" ht="12.95" customHeight="1">
      <c r="A830"/>
      <c r="B830"/>
      <c r="C830" s="1718" t="s">
        <v>783</v>
      </c>
      <c r="D830" s="1647"/>
      <c r="E830" s="1647"/>
      <c r="F830" s="1647"/>
      <c r="G830" s="1647"/>
      <c r="H830" s="1647"/>
      <c r="I830" s="60"/>
      <c r="J830" s="60"/>
      <c r="K830" s="60"/>
      <c r="L830" s="61"/>
      <c r="M830" s="1633"/>
      <c r="N830" s="1633"/>
      <c r="O830" s="1633"/>
      <c r="P830" s="1633"/>
      <c r="Q830" s="1633"/>
      <c r="R830" s="1633"/>
      <c r="S830" s="1633"/>
      <c r="T830" s="1633"/>
      <c r="U830" s="1633"/>
      <c r="V830" s="1633"/>
      <c r="W830" s="1633"/>
      <c r="X830" s="1633"/>
      <c r="Y830" s="1633"/>
      <c r="Z830" s="1633"/>
      <c r="AA830" s="1633"/>
      <c r="AB830" s="1633"/>
      <c r="AC830" s="1520"/>
      <c r="AD830" s="1521"/>
      <c r="AE830" s="1521"/>
      <c r="AF830" s="1522"/>
      <c r="AG830" s="1520"/>
      <c r="AH830" s="1521"/>
      <c r="AI830" s="1521"/>
      <c r="AJ830" s="1522"/>
      <c r="AK830"/>
      <c r="AL830" s="3"/>
      <c r="AM830" s="3"/>
      <c r="AN830" s="3"/>
      <c r="AO830" s="3"/>
      <c r="AP830" s="3"/>
      <c r="AQ830" s="3"/>
      <c r="AR830" s="3"/>
      <c r="AS830" s="3"/>
      <c r="AT830" s="3"/>
      <c r="AU830"/>
      <c r="AV830" s="3"/>
      <c r="AW830" s="3"/>
      <c r="AX830" s="3"/>
      <c r="AY830" s="3"/>
      <c r="AZ830" s="30"/>
      <c r="BA830" s="30"/>
    </row>
    <row r="831" spans="1:55" s="14" customFormat="1" ht="12.95" customHeight="1">
      <c r="A831"/>
      <c r="B831"/>
      <c r="C831" s="59" t="s">
        <v>292</v>
      </c>
      <c r="D831" s="60"/>
      <c r="E831" s="60"/>
      <c r="F831" s="1604" t="s">
        <v>333</v>
      </c>
      <c r="G831" s="1605"/>
      <c r="H831" s="1605"/>
      <c r="I831" s="1605"/>
      <c r="J831" s="1605"/>
      <c r="K831" s="1605"/>
      <c r="L831" s="1605"/>
      <c r="M831" s="1633"/>
      <c r="N831" s="1633"/>
      <c r="O831" s="1633"/>
      <c r="P831" s="1633"/>
      <c r="Q831" s="1633"/>
      <c r="R831" s="1633"/>
      <c r="S831" s="1633"/>
      <c r="T831" s="1633"/>
      <c r="U831" s="1633"/>
      <c r="V831" s="1633"/>
      <c r="W831" s="1633"/>
      <c r="X831" s="1633"/>
      <c r="Y831" s="1633"/>
      <c r="Z831" s="1633"/>
      <c r="AA831" s="1633"/>
      <c r="AB831" s="1633"/>
      <c r="AC831" s="1520"/>
      <c r="AD831" s="1521"/>
      <c r="AE831" s="1521"/>
      <c r="AF831" s="1522"/>
      <c r="AG831" s="1520"/>
      <c r="AH831" s="1521"/>
      <c r="AI831" s="1521"/>
      <c r="AJ831" s="1522"/>
      <c r="AK831"/>
      <c r="AL831" s="3"/>
      <c r="AM831" s="3"/>
      <c r="AN831" s="3"/>
      <c r="AO831" s="3"/>
      <c r="AP831" s="3"/>
      <c r="AQ831" s="3"/>
      <c r="AR831" s="3"/>
      <c r="AS831" s="3"/>
      <c r="AT831" s="3"/>
      <c r="AU831"/>
      <c r="AV831" s="3"/>
      <c r="AW831" s="3"/>
      <c r="AX831" s="3"/>
      <c r="AY831" s="3"/>
      <c r="AZ831" s="30"/>
      <c r="BA831" s="30"/>
    </row>
    <row r="832" spans="1:55" s="14" customFormat="1" ht="12.95" customHeight="1">
      <c r="A832"/>
      <c r="B832"/>
      <c r="C832" s="1502" t="s">
        <v>124</v>
      </c>
      <c r="D832" s="1503"/>
      <c r="E832" s="1503"/>
      <c r="F832" s="1503"/>
      <c r="G832" s="1503"/>
      <c r="H832" s="1503"/>
      <c r="I832" s="1503"/>
      <c r="J832" s="1503"/>
      <c r="K832" s="1503"/>
      <c r="L832" s="1504"/>
      <c r="M832" s="1631">
        <f>SUM(M825:P831)</f>
        <v>0</v>
      </c>
      <c r="N832" s="1631"/>
      <c r="O832" s="1631"/>
      <c r="P832" s="1631"/>
      <c r="Q832" s="1631">
        <f>SUM(Q825:T831)</f>
        <v>0</v>
      </c>
      <c r="R832" s="1631"/>
      <c r="S832" s="1631"/>
      <c r="T832" s="1631"/>
      <c r="U832" s="1631">
        <f>SUM(U825:X831)</f>
        <v>0</v>
      </c>
      <c r="V832" s="1631"/>
      <c r="W832" s="1631"/>
      <c r="X832" s="1631"/>
      <c r="Y832" s="1631">
        <f>SUM(Y825:AB831)</f>
        <v>0</v>
      </c>
      <c r="Z832" s="1631"/>
      <c r="AA832" s="1631"/>
      <c r="AB832" s="1631"/>
      <c r="AC832" s="1631">
        <f>SUM(AC825:AF831)</f>
        <v>0</v>
      </c>
      <c r="AD832" s="1631"/>
      <c r="AE832" s="1631"/>
      <c r="AF832" s="1631"/>
      <c r="AG832" s="1631">
        <f>SUM(AG825:AJ831)</f>
        <v>0</v>
      </c>
      <c r="AH832" s="1631"/>
      <c r="AI832" s="1631"/>
      <c r="AJ832" s="1631"/>
      <c r="AK832"/>
      <c r="AL832" s="3"/>
      <c r="AM832" s="3"/>
      <c r="AN832" s="3"/>
      <c r="AO832" s="3"/>
      <c r="AP832" s="3"/>
      <c r="AQ832" s="3"/>
      <c r="AR832" s="3"/>
      <c r="AS832" s="3"/>
      <c r="AT832" s="3"/>
      <c r="AU832"/>
      <c r="AV832" s="3"/>
      <c r="AW832" s="3"/>
      <c r="AX832" s="3"/>
      <c r="AY832" s="3"/>
      <c r="AZ832" s="30"/>
      <c r="BA832" s="30"/>
    </row>
    <row r="833" spans="1:64" s="14" customFormat="1" ht="12.95" customHeight="1">
      <c r="A833"/>
      <c r="B833"/>
      <c r="C833" s="57" t="s">
        <v>784</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2.95" customHeight="1">
      <c r="A834"/>
      <c r="B834"/>
      <c r="C834" s="57" t="s">
        <v>785</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2.95"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2.95" customHeight="1">
      <c r="A837"/>
      <c r="B837"/>
      <c r="C837" s="1715" t="s">
        <v>591</v>
      </c>
      <c r="D837" s="1716"/>
      <c r="E837" s="1716"/>
      <c r="F837" s="1716"/>
      <c r="G837" s="1716"/>
      <c r="H837" s="1716"/>
      <c r="I837" s="1716"/>
      <c r="J837" s="1716"/>
      <c r="K837" s="1716"/>
      <c r="L837" s="1716"/>
      <c r="M837" s="1716"/>
      <c r="N837" s="1716"/>
      <c r="O837" s="1716"/>
      <c r="P837" s="1716"/>
      <c r="Q837" s="1716"/>
      <c r="R837" s="1716"/>
      <c r="S837" s="1716"/>
      <c r="T837" s="1716"/>
      <c r="U837" s="1716"/>
      <c r="V837" s="1716"/>
      <c r="W837" s="1716"/>
      <c r="X837" s="1716"/>
      <c r="Y837" s="1716"/>
      <c r="Z837" s="1716"/>
      <c r="AA837" s="1716"/>
      <c r="AB837" s="1716"/>
      <c r="AC837" s="1716"/>
      <c r="AD837" s="1716"/>
      <c r="AE837" s="1716"/>
      <c r="AF837" s="1716"/>
      <c r="AG837" s="1716"/>
      <c r="AH837" s="1716"/>
      <c r="AI837" s="1716"/>
      <c r="AJ837" s="1717"/>
      <c r="AK837"/>
      <c r="AL837" s="3"/>
      <c r="AM837" s="3"/>
      <c r="AN837" s="3"/>
      <c r="AO837" s="3"/>
      <c r="AP837" s="3"/>
      <c r="AQ837" s="3"/>
      <c r="AR837" s="3"/>
      <c r="AS837" s="3"/>
      <c r="AT837" s="3"/>
      <c r="AU837"/>
      <c r="AV837"/>
      <c r="AW837"/>
      <c r="AX837"/>
      <c r="AY837"/>
      <c r="AZ837" s="30"/>
      <c r="BA837" s="30"/>
    </row>
    <row r="838" spans="1:64" s="14" customFormat="1" ht="12.95" customHeight="1">
      <c r="A838"/>
      <c r="B838" s="4"/>
      <c r="C838" s="3" t="s">
        <v>1156</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2.95" customHeight="1">
      <c r="A840" s="2" t="s">
        <v>467</v>
      </c>
      <c r="B840"/>
      <c r="C840" s="2" t="s">
        <v>760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57"/>
      <c r="BJ841" s="1657"/>
      <c r="BK841" s="1657"/>
      <c r="BL841" s="1657"/>
    </row>
    <row r="842" spans="1:64" s="14" customFormat="1" ht="12.95" customHeight="1">
      <c r="A842"/>
      <c r="B842"/>
      <c r="C842" s="2" t="s">
        <v>342</v>
      </c>
      <c r="D842"/>
      <c r="E842"/>
      <c r="F842"/>
      <c r="G842"/>
      <c r="H842"/>
      <c r="I842"/>
      <c r="J842" s="45" t="s">
        <v>355</v>
      </c>
      <c r="K842" s="5"/>
      <c r="L842" s="5"/>
      <c r="M842" s="5"/>
      <c r="N842" s="5"/>
      <c r="O842" s="5"/>
      <c r="P842" s="5"/>
      <c r="Q842" s="5"/>
      <c r="R842" s="5"/>
      <c r="S842" s="5"/>
      <c r="T842" s="5"/>
      <c r="U842" s="5"/>
      <c r="V842" s="46"/>
      <c r="W842" s="1529">
        <v>27200</v>
      </c>
      <c r="X842" s="1529"/>
      <c r="Y842" s="1529"/>
      <c r="Z842" s="1529"/>
      <c r="AA842" s="1529"/>
      <c r="AB842" s="1529"/>
      <c r="AC842" s="1529"/>
      <c r="AD842"/>
      <c r="AE842"/>
      <c r="AF842"/>
      <c r="AG842"/>
      <c r="AH842"/>
      <c r="AI842"/>
      <c r="AJ842"/>
      <c r="AK842"/>
      <c r="AL842"/>
      <c r="AM842"/>
      <c r="AN842"/>
      <c r="AO842"/>
      <c r="AP842"/>
      <c r="AQ842"/>
      <c r="AR842"/>
      <c r="AS842"/>
      <c r="AT842"/>
      <c r="AU842"/>
      <c r="AV842"/>
      <c r="AW842"/>
      <c r="AX842"/>
      <c r="AY842"/>
      <c r="AZ842" s="30"/>
      <c r="BA842" s="30"/>
    </row>
    <row r="843" spans="1:64" s="14" customFormat="1" ht="12.95" customHeight="1">
      <c r="A843"/>
      <c r="B843"/>
      <c r="C843"/>
      <c r="D843"/>
      <c r="E843"/>
      <c r="F843"/>
      <c r="G843"/>
      <c r="H843"/>
      <c r="I843"/>
      <c r="J843" s="45" t="s">
        <v>354</v>
      </c>
      <c r="K843" s="5"/>
      <c r="L843" s="5"/>
      <c r="M843" s="5"/>
      <c r="N843" s="5"/>
      <c r="O843" s="5"/>
      <c r="P843" s="5"/>
      <c r="Q843" s="5"/>
      <c r="R843" s="5"/>
      <c r="S843" s="5"/>
      <c r="T843" s="5"/>
      <c r="U843" s="5"/>
      <c r="V843" s="46"/>
      <c r="W843" s="1529">
        <v>8800</v>
      </c>
      <c r="X843" s="1529"/>
      <c r="Y843" s="1529"/>
      <c r="Z843" s="1529"/>
      <c r="AA843" s="1529"/>
      <c r="AB843" s="1529"/>
      <c r="AC843" s="1529"/>
      <c r="AD843"/>
      <c r="AE843"/>
      <c r="AF843"/>
      <c r="AG843"/>
      <c r="AH843"/>
      <c r="AI843"/>
      <c r="AJ843"/>
      <c r="AK843"/>
      <c r="AL843"/>
      <c r="AM843"/>
      <c r="AN843"/>
      <c r="AO843"/>
      <c r="AP843"/>
      <c r="AQ843"/>
      <c r="AR843"/>
      <c r="AS843"/>
      <c r="AT843"/>
      <c r="AU843"/>
      <c r="AV843"/>
      <c r="AW843"/>
      <c r="AX843"/>
      <c r="AY843"/>
      <c r="AZ843" s="30"/>
      <c r="BA843" s="30"/>
    </row>
    <row r="844" spans="1:64" ht="12.95" customHeight="1">
      <c r="J844" s="45" t="s">
        <v>353</v>
      </c>
      <c r="K844" s="5"/>
      <c r="L844" s="5"/>
      <c r="M844" s="5"/>
      <c r="N844" s="5"/>
      <c r="O844" s="5"/>
      <c r="P844" s="5"/>
      <c r="Q844" s="5"/>
      <c r="R844" s="5"/>
      <c r="S844" s="5"/>
      <c r="T844" s="5"/>
      <c r="U844" s="5"/>
      <c r="V844" s="46"/>
      <c r="W844" s="1529">
        <v>20000</v>
      </c>
      <c r="X844" s="1529"/>
      <c r="Y844" s="1529"/>
      <c r="Z844" s="1529"/>
      <c r="AA844" s="1529"/>
      <c r="AB844" s="1529"/>
      <c r="AC844" s="1529"/>
      <c r="AZ844" s="30"/>
      <c r="BA844" s="30"/>
      <c r="BB844" s="14"/>
      <c r="BC844" s="14"/>
      <c r="BD844" s="14"/>
      <c r="BE844" s="14"/>
      <c r="BF844" s="14"/>
      <c r="BG844" s="14"/>
      <c r="BH844" s="14"/>
      <c r="BI844" s="14"/>
      <c r="BJ844" s="14"/>
      <c r="BK844" s="14"/>
      <c r="BL844" s="14"/>
    </row>
    <row r="845" spans="1:64" ht="12.95" customHeight="1">
      <c r="J845" s="45" t="s">
        <v>352</v>
      </c>
      <c r="K845" s="5"/>
      <c r="L845" s="5"/>
      <c r="M845" s="5"/>
      <c r="N845" s="5"/>
      <c r="O845" s="5"/>
      <c r="P845" s="5"/>
      <c r="Q845" s="5"/>
      <c r="R845" s="5"/>
      <c r="S845" s="5"/>
      <c r="T845" s="5"/>
      <c r="U845" s="5"/>
      <c r="V845" s="46"/>
      <c r="W845" s="1529">
        <v>0</v>
      </c>
      <c r="X845" s="1529"/>
      <c r="Y845" s="1529"/>
      <c r="Z845" s="1529"/>
      <c r="AA845" s="1529"/>
      <c r="AB845" s="1529"/>
      <c r="AC845" s="1529"/>
      <c r="AZ845" s="30"/>
      <c r="BA845" s="30"/>
      <c r="BB845" s="14"/>
      <c r="BC845" s="14"/>
      <c r="BD845" s="14"/>
      <c r="BE845" s="14"/>
      <c r="BF845" s="14"/>
      <c r="BG845" s="14"/>
      <c r="BH845" s="14"/>
      <c r="BI845" s="14"/>
      <c r="BJ845" s="14"/>
      <c r="BK845" s="14"/>
      <c r="BL845" s="14"/>
    </row>
    <row r="846" spans="1:64" ht="12.95" customHeight="1">
      <c r="J846" s="45" t="s">
        <v>169</v>
      </c>
      <c r="K846" s="5"/>
      <c r="L846" s="5"/>
      <c r="M846" s="1604" t="s">
        <v>2714</v>
      </c>
      <c r="N846" s="1605"/>
      <c r="O846" s="1605"/>
      <c r="P846" s="1605"/>
      <c r="Q846" s="1605"/>
      <c r="R846" s="1605"/>
      <c r="S846" s="1605"/>
      <c r="T846" s="1605"/>
      <c r="U846" s="1605"/>
      <c r="V846" s="1606"/>
      <c r="W846" s="1529">
        <f>35000+20000+15000</f>
        <v>70000</v>
      </c>
      <c r="X846" s="1529"/>
      <c r="Y846" s="1529"/>
      <c r="Z846" s="1529"/>
      <c r="AA846" s="1529"/>
      <c r="AB846" s="1529"/>
      <c r="AC846" s="1529"/>
      <c r="AZ846" s="30"/>
      <c r="BA846" s="30"/>
      <c r="BB846" s="14"/>
      <c r="BC846" s="14"/>
      <c r="BD846" s="14"/>
      <c r="BE846" s="14"/>
      <c r="BF846" s="14"/>
      <c r="BG846" s="14"/>
      <c r="BH846" s="14"/>
      <c r="BI846" s="14"/>
      <c r="BJ846" s="14"/>
      <c r="BK846" s="14"/>
      <c r="BL846" s="14"/>
    </row>
    <row r="847" spans="1:64" ht="12.95" customHeight="1">
      <c r="J847" s="45"/>
      <c r="K847" s="5"/>
      <c r="L847" s="5"/>
      <c r="M847" s="5"/>
      <c r="N847" s="5"/>
      <c r="O847" s="5"/>
      <c r="P847" s="5"/>
      <c r="Q847" s="5"/>
      <c r="R847" s="5"/>
      <c r="S847" s="5"/>
      <c r="T847" s="5"/>
      <c r="U847" s="5"/>
      <c r="V847" s="54" t="s">
        <v>341</v>
      </c>
      <c r="W847" s="1386">
        <f>SUM(W842:W846)</f>
        <v>126000</v>
      </c>
      <c r="X847" s="1387"/>
      <c r="Y847" s="1387"/>
      <c r="Z847" s="1387"/>
      <c r="AA847" s="1387"/>
      <c r="AB847" s="1387"/>
      <c r="AC847" s="1388"/>
      <c r="AZ847" s="30"/>
      <c r="BA847" s="30"/>
      <c r="BB847" s="14"/>
      <c r="BC847" s="14"/>
      <c r="BD847" s="14"/>
      <c r="BE847" s="14"/>
      <c r="BF847" s="14"/>
      <c r="BG847" s="14"/>
      <c r="BH847" s="14"/>
      <c r="BI847" s="14"/>
      <c r="BJ847" s="14"/>
      <c r="BK847" s="14"/>
      <c r="BL847" s="14"/>
    </row>
    <row r="848" spans="1:64" ht="12.95" customHeight="1">
      <c r="AZ848" s="30"/>
      <c r="BA848" s="30"/>
      <c r="BB848" s="14"/>
      <c r="BC848" s="14"/>
      <c r="BD848" s="14"/>
      <c r="BE848" s="14"/>
      <c r="BF848" s="14"/>
      <c r="BG848" s="1623"/>
      <c r="BH848" s="1623"/>
      <c r="BI848" s="1623"/>
      <c r="BJ848" s="1623"/>
      <c r="BK848" s="1623"/>
      <c r="BL848" s="1623"/>
    </row>
    <row r="849" spans="3:55" ht="12.95" customHeight="1">
      <c r="C849" s="2" t="s">
        <v>343</v>
      </c>
      <c r="J849" s="1502" t="s">
        <v>344</v>
      </c>
      <c r="K849" s="1503"/>
      <c r="L849" s="1503"/>
      <c r="M849" s="1503"/>
      <c r="N849" s="1503"/>
      <c r="O849" s="1503"/>
      <c r="P849" s="1503"/>
      <c r="Q849" s="1503"/>
      <c r="R849" s="1503"/>
      <c r="S849" s="1503"/>
      <c r="T849" s="1503"/>
      <c r="U849" s="1503"/>
      <c r="V849" s="1504"/>
      <c r="W849" s="1517">
        <v>174326</v>
      </c>
      <c r="X849" s="1518"/>
      <c r="Y849" s="1518"/>
      <c r="Z849" s="1518"/>
      <c r="AA849" s="1518"/>
      <c r="AB849" s="1518"/>
      <c r="AC849" s="1519"/>
      <c r="AD849" s="533"/>
      <c r="AZ849" s="30"/>
      <c r="BA849" s="30"/>
      <c r="BB849" s="14"/>
      <c r="BC849" s="14"/>
    </row>
    <row r="850" spans="3:55" ht="12.95" customHeight="1">
      <c r="AD850" s="533"/>
      <c r="AZ850" s="30"/>
      <c r="BA850" s="30"/>
      <c r="BB850" s="14"/>
      <c r="BC850" s="14"/>
    </row>
    <row r="851" spans="3:55" ht="12.95" customHeight="1">
      <c r="C851" s="2" t="s">
        <v>561</v>
      </c>
      <c r="J851" s="45" t="s">
        <v>351</v>
      </c>
      <c r="K851" s="5"/>
      <c r="L851" s="5"/>
      <c r="M851" s="5"/>
      <c r="N851" s="5"/>
      <c r="O851" s="5"/>
      <c r="P851" s="5"/>
      <c r="Q851" s="5"/>
      <c r="R851" s="5"/>
      <c r="S851" s="5"/>
      <c r="T851" s="5"/>
      <c r="U851" s="5"/>
      <c r="V851" s="46"/>
      <c r="W851" s="1645">
        <v>0</v>
      </c>
      <c r="X851" s="1645"/>
      <c r="Y851" s="1645"/>
      <c r="Z851" s="1645"/>
      <c r="AA851" s="1645"/>
      <c r="AB851" s="1645"/>
      <c r="AC851" s="1645"/>
      <c r="AZ851" s="1857"/>
      <c r="BA851" s="1857"/>
      <c r="BB851" s="14"/>
      <c r="BC851" s="14"/>
    </row>
    <row r="852" spans="3:55" ht="12.95" customHeight="1">
      <c r="J852" s="45" t="s">
        <v>350</v>
      </c>
      <c r="K852" s="5"/>
      <c r="L852" s="5"/>
      <c r="M852" s="5"/>
      <c r="N852" s="5"/>
      <c r="O852" s="5"/>
      <c r="P852" s="5"/>
      <c r="Q852" s="5"/>
      <c r="R852" s="5"/>
      <c r="S852" s="5"/>
      <c r="T852" s="5"/>
      <c r="U852" s="5"/>
      <c r="V852" s="46"/>
      <c r="W852" s="1645">
        <v>0</v>
      </c>
      <c r="X852" s="1645"/>
      <c r="Y852" s="1645"/>
      <c r="Z852" s="1645"/>
      <c r="AA852" s="1645"/>
      <c r="AB852" s="1645"/>
      <c r="AC852" s="1645"/>
      <c r="AZ852" s="30"/>
      <c r="BA852" s="30"/>
      <c r="BB852" s="14"/>
      <c r="BC852" s="14"/>
    </row>
    <row r="853" spans="3:55" ht="12.95" customHeight="1">
      <c r="J853" s="45" t="s">
        <v>459</v>
      </c>
      <c r="K853" s="5"/>
      <c r="L853" s="5"/>
      <c r="M853" s="5"/>
      <c r="N853" s="5"/>
      <c r="O853" s="5"/>
      <c r="P853" s="5"/>
      <c r="Q853" s="5"/>
      <c r="R853" s="5"/>
      <c r="S853" s="5"/>
      <c r="T853" s="5"/>
      <c r="U853" s="5"/>
      <c r="V853" s="46"/>
      <c r="W853" s="1645">
        <v>139803</v>
      </c>
      <c r="X853" s="1645"/>
      <c r="Y853" s="1645"/>
      <c r="Z853" s="1645"/>
      <c r="AA853" s="1645"/>
      <c r="AB853" s="1645"/>
      <c r="AC853" s="1645"/>
      <c r="AZ853" s="30"/>
      <c r="BA853" s="30"/>
      <c r="BB853" s="14"/>
      <c r="BC853" s="14"/>
    </row>
    <row r="854" spans="3:55" ht="12.95" customHeight="1">
      <c r="J854" s="62" t="s">
        <v>620</v>
      </c>
      <c r="K854" s="5"/>
      <c r="L854" s="5"/>
      <c r="M854" s="5"/>
      <c r="N854" s="5"/>
      <c r="O854" s="5"/>
      <c r="P854" s="5"/>
      <c r="Q854" s="5"/>
      <c r="R854" s="5"/>
      <c r="S854" s="5"/>
      <c r="T854" s="5"/>
      <c r="U854" s="5"/>
      <c r="V854" s="46"/>
      <c r="W854" s="1645">
        <f>63547+50838</f>
        <v>114385</v>
      </c>
      <c r="X854" s="1645"/>
      <c r="Y854" s="1645"/>
      <c r="Z854" s="1645"/>
      <c r="AA854" s="1645"/>
      <c r="AB854" s="1645"/>
      <c r="AC854" s="1645"/>
      <c r="AZ854" s="34"/>
      <c r="BA854" s="34"/>
      <c r="BB854" s="34"/>
      <c r="BC854" s="34"/>
    </row>
    <row r="855" spans="3:55" ht="12.95" customHeight="1">
      <c r="J855" s="63"/>
      <c r="K855" s="48"/>
      <c r="L855" s="48"/>
      <c r="M855" s="48"/>
      <c r="N855" s="48"/>
      <c r="O855" s="48"/>
      <c r="P855" s="48"/>
      <c r="Q855" s="48"/>
      <c r="R855" s="48"/>
      <c r="S855" s="48"/>
      <c r="T855" s="48"/>
      <c r="U855" s="48"/>
      <c r="V855" s="54" t="s">
        <v>271</v>
      </c>
      <c r="W855" s="1649">
        <f>SUM(W851:W854)</f>
        <v>254188</v>
      </c>
      <c r="X855" s="1649"/>
      <c r="Y855" s="1649"/>
      <c r="Z855" s="1649"/>
      <c r="AA855" s="1649"/>
      <c r="AB855" s="1649"/>
      <c r="AC855" s="1649"/>
      <c r="AZ855" s="34"/>
      <c r="BA855" s="34"/>
      <c r="BB855" s="34"/>
      <c r="BC855" s="34"/>
    </row>
    <row r="856" spans="3:55" ht="12.95" customHeight="1">
      <c r="AZ856" s="34"/>
      <c r="BA856" s="34"/>
      <c r="BB856" s="34"/>
      <c r="BC856" s="34"/>
    </row>
    <row r="857" spans="3:55" ht="12.95" customHeight="1">
      <c r="C857" s="2" t="s">
        <v>345</v>
      </c>
      <c r="J857" s="45" t="s">
        <v>619</v>
      </c>
      <c r="K857" s="5"/>
      <c r="L857" s="5"/>
      <c r="M857" s="5"/>
      <c r="N857" s="5"/>
      <c r="O857" s="5"/>
      <c r="P857" s="5"/>
      <c r="Q857" s="5"/>
      <c r="R857" s="5"/>
      <c r="S857" s="5"/>
      <c r="T857" s="5"/>
      <c r="U857" s="5"/>
      <c r="V857" s="46"/>
      <c r="W857" s="1625">
        <v>160160</v>
      </c>
      <c r="X857" s="1626"/>
      <c r="Y857" s="1626"/>
      <c r="Z857" s="1626"/>
      <c r="AA857" s="1626"/>
      <c r="AB857" s="1626"/>
      <c r="AC857" s="1627"/>
      <c r="AD857" s="528"/>
      <c r="AZ857" s="34"/>
      <c r="BA857" s="34"/>
      <c r="BB857" s="34"/>
      <c r="BC857" s="34"/>
    </row>
    <row r="858" spans="3:55" ht="12.95" customHeight="1">
      <c r="C858" s="2" t="s">
        <v>346</v>
      </c>
      <c r="J858" s="121" t="s">
        <v>1654</v>
      </c>
      <c r="K858" s="5"/>
      <c r="L858" s="5"/>
      <c r="M858" s="5"/>
      <c r="N858" s="5"/>
      <c r="O858" s="5"/>
      <c r="P858" s="5"/>
      <c r="Q858" s="5"/>
      <c r="R858" s="5"/>
      <c r="S858" s="5"/>
      <c r="T858" s="1719">
        <v>6</v>
      </c>
      <c r="U858" s="1696"/>
      <c r="V858" s="1720"/>
      <c r="W858" s="874"/>
      <c r="X858" s="875"/>
      <c r="Y858" s="875"/>
      <c r="Z858" s="875"/>
      <c r="AA858" s="875"/>
      <c r="AB858" s="875"/>
      <c r="AC858" s="876"/>
      <c r="AD858" s="528"/>
      <c r="AZ858" s="34"/>
      <c r="BA858" s="34"/>
      <c r="BB858" s="34"/>
      <c r="BC858" s="34"/>
    </row>
    <row r="859" spans="3:55" ht="12.95" customHeight="1">
      <c r="C859" s="2"/>
      <c r="J859" s="45" t="s">
        <v>618</v>
      </c>
      <c r="K859" s="5"/>
      <c r="L859" s="5"/>
      <c r="M859" s="5"/>
      <c r="N859" s="5"/>
      <c r="O859" s="5"/>
      <c r="P859" s="5"/>
      <c r="Q859" s="5"/>
      <c r="R859" s="5"/>
      <c r="S859" s="5"/>
      <c r="T859" s="5"/>
      <c r="U859" s="5"/>
      <c r="V859" s="46"/>
      <c r="W859" s="1625">
        <v>156000</v>
      </c>
      <c r="X859" s="1626"/>
      <c r="Y859" s="1626"/>
      <c r="Z859" s="1626"/>
      <c r="AA859" s="1626"/>
      <c r="AB859" s="1626"/>
      <c r="AC859" s="1627"/>
      <c r="AD859" s="533"/>
      <c r="AZ859" s="34"/>
      <c r="BA859" s="34"/>
      <c r="BB859" s="34"/>
      <c r="BC859" s="34"/>
    </row>
    <row r="860" spans="3:55" ht="12.95" customHeight="1">
      <c r="C860" s="2"/>
      <c r="J860" s="121" t="s">
        <v>1655</v>
      </c>
      <c r="K860" s="5"/>
      <c r="L860" s="5"/>
      <c r="M860" s="5"/>
      <c r="N860" s="5"/>
      <c r="O860" s="5"/>
      <c r="P860" s="5"/>
      <c r="Q860" s="5"/>
      <c r="R860" s="5"/>
      <c r="S860" s="5"/>
      <c r="T860" s="1719">
        <v>3</v>
      </c>
      <c r="U860" s="1696"/>
      <c r="V860" s="1720"/>
      <c r="W860" s="874"/>
      <c r="X860" s="875"/>
      <c r="Y860" s="875"/>
      <c r="Z860" s="875"/>
      <c r="AA860" s="875"/>
      <c r="AB860" s="875"/>
      <c r="AC860" s="876"/>
      <c r="AD860" s="533"/>
      <c r="AZ860" s="34"/>
      <c r="BA860" s="34"/>
      <c r="BB860" s="34"/>
      <c r="BC860" s="34"/>
    </row>
    <row r="861" spans="3:55" ht="12.95" customHeight="1">
      <c r="J861" s="45" t="s">
        <v>169</v>
      </c>
      <c r="K861" s="5"/>
      <c r="L861" s="5"/>
      <c r="M861" s="1604" t="s">
        <v>2712</v>
      </c>
      <c r="N861" s="1605"/>
      <c r="O861" s="1605"/>
      <c r="P861" s="1605"/>
      <c r="Q861" s="1605"/>
      <c r="R861" s="1605"/>
      <c r="S861" s="1605"/>
      <c r="T861" s="1605"/>
      <c r="U861" s="1605"/>
      <c r="V861" s="1606"/>
      <c r="W861" s="1625">
        <f>AC777*12</f>
        <v>80076</v>
      </c>
      <c r="X861" s="1626"/>
      <c r="Y861" s="1626"/>
      <c r="Z861" s="1626"/>
      <c r="AA861" s="1626"/>
      <c r="AB861" s="1626"/>
      <c r="AC861" s="1627"/>
      <c r="AD861" s="528"/>
      <c r="AU861" s="14"/>
      <c r="AZ861" s="34"/>
      <c r="BA861" s="34"/>
      <c r="BB861" s="34"/>
      <c r="BC861" s="34"/>
    </row>
    <row r="862" spans="3:55" ht="12.95" customHeight="1">
      <c r="J862" s="45"/>
      <c r="K862" s="5"/>
      <c r="L862" s="5"/>
      <c r="M862" s="5"/>
      <c r="N862" s="5"/>
      <c r="O862" s="5"/>
      <c r="P862" s="5"/>
      <c r="Q862" s="5"/>
      <c r="R862" s="5"/>
      <c r="S862" s="5"/>
      <c r="T862" s="5"/>
      <c r="U862" s="5"/>
      <c r="V862" s="54" t="s">
        <v>272</v>
      </c>
      <c r="W862" s="1721">
        <f>SUM(W857:W861)</f>
        <v>396236</v>
      </c>
      <c r="X862" s="1722"/>
      <c r="Y862" s="1722"/>
      <c r="Z862" s="1722"/>
      <c r="AA862" s="1722"/>
      <c r="AB862" s="1722"/>
      <c r="AC862" s="1723"/>
      <c r="AD862" s="533"/>
      <c r="AU862" s="14"/>
      <c r="AZ862" s="34"/>
      <c r="BA862" s="34"/>
      <c r="BB862" s="34"/>
      <c r="BC862" s="34"/>
    </row>
    <row r="863" spans="3:55" ht="12.95" customHeight="1">
      <c r="J863" s="45"/>
      <c r="K863" s="5"/>
      <c r="L863" s="5"/>
      <c r="M863" s="5"/>
      <c r="N863" s="5"/>
      <c r="O863" s="5"/>
      <c r="P863" s="5"/>
      <c r="Q863" s="5"/>
      <c r="R863" s="5"/>
      <c r="S863" s="5"/>
      <c r="T863" s="5"/>
      <c r="U863" s="5"/>
      <c r="V863" s="54" t="s">
        <v>273</v>
      </c>
      <c r="W863" s="1625">
        <v>272272</v>
      </c>
      <c r="X863" s="1626"/>
      <c r="Y863" s="1626"/>
      <c r="Z863" s="1626"/>
      <c r="AA863" s="1626"/>
      <c r="AB863" s="1626"/>
      <c r="AC863" s="1627"/>
      <c r="AU863" s="14"/>
      <c r="AZ863" s="34"/>
      <c r="BA863" s="34"/>
      <c r="BB863" s="34"/>
      <c r="BC863" s="34"/>
    </row>
    <row r="864" spans="3:55" ht="12.95" customHeight="1">
      <c r="J864" s="512"/>
      <c r="AU864" s="14"/>
      <c r="AZ864" s="34"/>
      <c r="BA864" s="34"/>
      <c r="BB864" s="34"/>
      <c r="BC864" s="34"/>
    </row>
    <row r="865" spans="3:55" ht="12.95" customHeight="1">
      <c r="C865" s="2" t="s">
        <v>389</v>
      </c>
      <c r="J865" s="45" t="s">
        <v>617</v>
      </c>
      <c r="K865" s="5"/>
      <c r="L865" s="5"/>
      <c r="M865" s="5"/>
      <c r="N865" s="5"/>
      <c r="O865" s="5"/>
      <c r="P865" s="5"/>
      <c r="Q865" s="5"/>
      <c r="R865" s="5"/>
      <c r="S865" s="5"/>
      <c r="T865" s="5"/>
      <c r="U865" s="5"/>
      <c r="V865" s="46"/>
      <c r="W865" s="1529">
        <v>0</v>
      </c>
      <c r="X865" s="1529"/>
      <c r="Y865" s="1529"/>
      <c r="Z865" s="1529"/>
      <c r="AA865" s="1529"/>
      <c r="AB865" s="1529"/>
      <c r="AC865" s="1529"/>
      <c r="AU865" s="14"/>
      <c r="AZ865" s="34"/>
      <c r="BA865" s="34"/>
      <c r="BB865" s="34"/>
      <c r="BC865" s="34"/>
    </row>
    <row r="866" spans="3:55" ht="12.95" customHeight="1">
      <c r="J866" s="45" t="s">
        <v>522</v>
      </c>
      <c r="K866" s="5"/>
      <c r="L866" s="5"/>
      <c r="M866" s="5"/>
      <c r="N866" s="5"/>
      <c r="O866" s="5"/>
      <c r="P866" s="5"/>
      <c r="Q866" s="5"/>
      <c r="R866" s="5"/>
      <c r="S866" s="5"/>
      <c r="T866" s="5"/>
      <c r="U866" s="5"/>
      <c r="V866" s="46"/>
      <c r="W866" s="1529">
        <f>40800+34000+34000+33800</f>
        <v>142600</v>
      </c>
      <c r="X866" s="1529"/>
      <c r="Y866" s="1529"/>
      <c r="Z866" s="1529"/>
      <c r="AA866" s="1529"/>
      <c r="AB866" s="1529"/>
      <c r="AC866" s="1529"/>
      <c r="AU866" s="4"/>
      <c r="AZ866" s="34"/>
      <c r="BA866" s="34"/>
      <c r="BB866" s="34"/>
      <c r="BC866" s="34"/>
    </row>
    <row r="867" spans="3:55" ht="12.95" customHeight="1">
      <c r="J867" s="45" t="s">
        <v>521</v>
      </c>
      <c r="K867" s="5"/>
      <c r="L867" s="5"/>
      <c r="M867" s="5"/>
      <c r="N867" s="5"/>
      <c r="O867" s="5"/>
      <c r="P867" s="5"/>
      <c r="Q867" s="5"/>
      <c r="R867" s="5"/>
      <c r="S867" s="5"/>
      <c r="T867" s="5"/>
      <c r="U867" s="5"/>
      <c r="V867" s="46"/>
      <c r="W867" s="1529">
        <v>33044</v>
      </c>
      <c r="X867" s="1529"/>
      <c r="Y867" s="1529"/>
      <c r="Z867" s="1529"/>
      <c r="AA867" s="1529"/>
      <c r="AB867" s="1529"/>
      <c r="AC867" s="1529"/>
      <c r="AU867" s="4"/>
      <c r="AZ867" s="34"/>
      <c r="BA867" s="34"/>
      <c r="BB867" s="34"/>
      <c r="BC867" s="34"/>
    </row>
    <row r="868" spans="3:55" ht="12.95" customHeight="1">
      <c r="J868" s="45" t="s">
        <v>520</v>
      </c>
      <c r="K868" s="5"/>
      <c r="L868" s="5"/>
      <c r="M868" s="5"/>
      <c r="N868" s="5"/>
      <c r="O868" s="5"/>
      <c r="P868" s="5"/>
      <c r="Q868" s="5"/>
      <c r="R868" s="5"/>
      <c r="S868" s="5"/>
      <c r="T868" s="5"/>
      <c r="U868" s="5"/>
      <c r="V868" s="46"/>
      <c r="W868" s="1529">
        <v>10000</v>
      </c>
      <c r="X868" s="1529"/>
      <c r="Y868" s="1529"/>
      <c r="Z868" s="1529"/>
      <c r="AA868" s="1529"/>
      <c r="AB868" s="1529"/>
      <c r="AC868" s="1529"/>
      <c r="AU868" s="4"/>
      <c r="AZ868" s="34"/>
      <c r="BA868" s="34"/>
      <c r="BB868" s="34"/>
      <c r="BC868" s="34"/>
    </row>
    <row r="869" spans="3:55" ht="12.95" customHeight="1">
      <c r="J869" s="45" t="s">
        <v>519</v>
      </c>
      <c r="K869" s="5"/>
      <c r="L869" s="5"/>
      <c r="M869" s="5"/>
      <c r="N869" s="5"/>
      <c r="O869" s="5"/>
      <c r="P869" s="5"/>
      <c r="Q869" s="5"/>
      <c r="R869" s="5"/>
      <c r="S869" s="5"/>
      <c r="T869" s="5"/>
      <c r="U869" s="5"/>
      <c r="V869" s="46"/>
      <c r="W869" s="1529">
        <v>35000</v>
      </c>
      <c r="X869" s="1529"/>
      <c r="Y869" s="1529"/>
      <c r="Z869" s="1529"/>
      <c r="AA869" s="1529"/>
      <c r="AB869" s="1529"/>
      <c r="AC869" s="1529"/>
      <c r="AU869" s="4"/>
      <c r="AZ869" s="34"/>
      <c r="BA869" s="34"/>
      <c r="BB869" s="34"/>
      <c r="BC869" s="34"/>
    </row>
    <row r="870" spans="3:55" ht="12.95" customHeight="1">
      <c r="J870" s="45" t="s">
        <v>518</v>
      </c>
      <c r="K870" s="5"/>
      <c r="L870" s="5"/>
      <c r="M870" s="5"/>
      <c r="N870" s="5"/>
      <c r="O870" s="5"/>
      <c r="P870" s="5"/>
      <c r="Q870" s="5"/>
      <c r="R870" s="5"/>
      <c r="S870" s="5"/>
      <c r="T870" s="5"/>
      <c r="U870" s="5"/>
      <c r="V870" s="46"/>
      <c r="W870" s="1529">
        <v>15000</v>
      </c>
      <c r="X870" s="1529"/>
      <c r="Y870" s="1529"/>
      <c r="Z870" s="1529"/>
      <c r="AA870" s="1529"/>
      <c r="AB870" s="1529"/>
      <c r="AC870" s="1529"/>
      <c r="AU870" s="4"/>
      <c r="AZ870" s="34"/>
      <c r="BA870" s="34"/>
      <c r="BB870" s="34"/>
      <c r="BC870" s="34"/>
    </row>
    <row r="871" spans="3:55" ht="12.95" customHeight="1">
      <c r="J871" s="45" t="s">
        <v>169</v>
      </c>
      <c r="K871" s="5"/>
      <c r="L871" s="5"/>
      <c r="M871" s="1604" t="s">
        <v>2711</v>
      </c>
      <c r="N871" s="1605"/>
      <c r="O871" s="1605"/>
      <c r="P871" s="1605"/>
      <c r="Q871" s="1605"/>
      <c r="R871" s="1605"/>
      <c r="S871" s="1605"/>
      <c r="T871" s="1605"/>
      <c r="U871" s="1605"/>
      <c r="V871" s="1606"/>
      <c r="W871" s="1529">
        <v>15000</v>
      </c>
      <c r="X871" s="1529"/>
      <c r="Y871" s="1529"/>
      <c r="Z871" s="1529"/>
      <c r="AA871" s="1529"/>
      <c r="AB871" s="1529"/>
      <c r="AC871" s="1529"/>
      <c r="AD871" s="533"/>
      <c r="AU871" s="4"/>
      <c r="AV871" s="14"/>
      <c r="AW871" s="14"/>
      <c r="AX871" s="14"/>
      <c r="AY871" s="14"/>
      <c r="AZ871" s="34"/>
      <c r="BA871" s="34"/>
      <c r="BB871" s="34"/>
      <c r="BC871" s="34"/>
    </row>
    <row r="872" spans="3:55" ht="12.95" customHeight="1">
      <c r="J872" s="45"/>
      <c r="K872" s="5"/>
      <c r="L872" s="5"/>
      <c r="M872" s="5"/>
      <c r="N872" s="5"/>
      <c r="O872" s="5"/>
      <c r="P872" s="5"/>
      <c r="Q872" s="5"/>
      <c r="R872" s="5"/>
      <c r="S872" s="5"/>
      <c r="T872" s="5"/>
      <c r="U872" s="5"/>
      <c r="V872" s="54" t="s">
        <v>274</v>
      </c>
      <c r="W872" s="1648">
        <f>SUM(W865:W871)</f>
        <v>250644</v>
      </c>
      <c r="X872" s="1648"/>
      <c r="Y872" s="1648"/>
      <c r="Z872" s="1648"/>
      <c r="AA872" s="1648"/>
      <c r="AB872" s="1648"/>
      <c r="AC872" s="1648"/>
      <c r="AU872" s="4"/>
      <c r="AV872" s="14"/>
      <c r="AW872" s="14"/>
      <c r="AX872" s="14"/>
      <c r="AY872" s="14"/>
      <c r="AZ872" s="34"/>
      <c r="BA872" s="34"/>
      <c r="BB872" s="34"/>
      <c r="BC872" s="34"/>
    </row>
    <row r="873" spans="3:55" ht="12.95" customHeight="1">
      <c r="AU873" s="4"/>
      <c r="AV873" s="14"/>
      <c r="AW873" s="14"/>
      <c r="AX873" s="14"/>
      <c r="AY873" s="14"/>
      <c r="AZ873" s="34"/>
      <c r="BA873" s="34"/>
      <c r="BB873" s="34"/>
      <c r="BC873" s="34"/>
    </row>
    <row r="874" spans="3:55" ht="12.95" customHeight="1">
      <c r="C874" s="2" t="s">
        <v>1242</v>
      </c>
      <c r="J874" s="45" t="s">
        <v>169</v>
      </c>
      <c r="K874" s="5"/>
      <c r="L874" s="5"/>
      <c r="M874" s="1604" t="s">
        <v>2713</v>
      </c>
      <c r="N874" s="1605"/>
      <c r="O874" s="1605"/>
      <c r="P874" s="1605"/>
      <c r="Q874" s="1605"/>
      <c r="R874" s="1605"/>
      <c r="S874" s="1605"/>
      <c r="T874" s="1605"/>
      <c r="U874" s="1605"/>
      <c r="V874" s="1606"/>
      <c r="W874" s="1517">
        <v>79040</v>
      </c>
      <c r="X874" s="1518"/>
      <c r="Y874" s="1518"/>
      <c r="Z874" s="1518"/>
      <c r="AA874" s="1518"/>
      <c r="AB874" s="1518"/>
      <c r="AC874" s="1519"/>
      <c r="AD874" s="533"/>
      <c r="AV874" s="14"/>
      <c r="AW874" s="14"/>
      <c r="AX874" s="14"/>
      <c r="AY874" s="14"/>
      <c r="AZ874" s="34"/>
      <c r="BA874" s="34"/>
      <c r="BB874" s="34"/>
      <c r="BC874" s="34"/>
    </row>
    <row r="875" spans="3:55" ht="12.95" customHeight="1">
      <c r="C875" s="2" t="s">
        <v>1243</v>
      </c>
      <c r="J875" s="45" t="s">
        <v>169</v>
      </c>
      <c r="K875" s="5"/>
      <c r="L875" s="5"/>
      <c r="M875" s="1604" t="s">
        <v>2715</v>
      </c>
      <c r="N875" s="1605"/>
      <c r="O875" s="1605"/>
      <c r="P875" s="1605"/>
      <c r="Q875" s="1605"/>
      <c r="R875" s="1605"/>
      <c r="S875" s="1605"/>
      <c r="T875" s="1605"/>
      <c r="U875" s="1605"/>
      <c r="V875" s="1606"/>
      <c r="W875" s="1517">
        <v>1000</v>
      </c>
      <c r="X875" s="1518"/>
      <c r="Y875" s="1518"/>
      <c r="Z875" s="1518"/>
      <c r="AA875" s="1518"/>
      <c r="AB875" s="1518"/>
      <c r="AC875" s="1519"/>
      <c r="AD875" s="533"/>
      <c r="AV875" s="14"/>
      <c r="AW875" s="14"/>
      <c r="AX875" s="14"/>
      <c r="AY875" s="14"/>
      <c r="AZ875" s="34"/>
      <c r="BA875" s="34"/>
      <c r="BB875" s="34"/>
      <c r="BC875" s="34"/>
    </row>
    <row r="876" spans="3:55" ht="12.95" customHeight="1">
      <c r="J876" s="45" t="s">
        <v>169</v>
      </c>
      <c r="K876" s="5"/>
      <c r="L876" s="5"/>
      <c r="M876" s="1604" t="s">
        <v>333</v>
      </c>
      <c r="N876" s="1605"/>
      <c r="O876" s="1605"/>
      <c r="P876" s="1605"/>
      <c r="Q876" s="1605"/>
      <c r="R876" s="1605"/>
      <c r="S876" s="1605"/>
      <c r="T876" s="1605"/>
      <c r="U876" s="1605"/>
      <c r="V876" s="1606"/>
      <c r="W876" s="1517"/>
      <c r="X876" s="1518"/>
      <c r="Y876" s="1518"/>
      <c r="Z876" s="1518"/>
      <c r="AA876" s="1518"/>
      <c r="AB876" s="1518"/>
      <c r="AC876" s="1519"/>
      <c r="AL876" s="14"/>
      <c r="AM876" s="14"/>
      <c r="AN876" s="14"/>
      <c r="AO876" s="14"/>
      <c r="AP876" s="14"/>
      <c r="AQ876" s="14"/>
      <c r="AR876" s="14"/>
      <c r="AS876" s="14"/>
      <c r="AT876" s="14"/>
      <c r="AV876" s="4"/>
      <c r="AW876" s="4"/>
      <c r="AX876" s="4"/>
      <c r="AY876" s="4"/>
      <c r="AZ876" s="34"/>
      <c r="BA876" s="34"/>
      <c r="BB876" s="34"/>
      <c r="BC876" s="34"/>
    </row>
    <row r="877" spans="3:55" ht="12.95" customHeight="1">
      <c r="J877" s="45" t="s">
        <v>169</v>
      </c>
      <c r="K877" s="5"/>
      <c r="L877" s="5"/>
      <c r="M877" s="1604" t="s">
        <v>333</v>
      </c>
      <c r="N877" s="1605"/>
      <c r="O877" s="1605"/>
      <c r="P877" s="1605"/>
      <c r="Q877" s="1605"/>
      <c r="R877" s="1605"/>
      <c r="S877" s="1605"/>
      <c r="T877" s="1605"/>
      <c r="U877" s="1605"/>
      <c r="V877" s="1606"/>
      <c r="W877" s="1517"/>
      <c r="X877" s="1518"/>
      <c r="Y877" s="1518"/>
      <c r="Z877" s="1518"/>
      <c r="AA877" s="1518"/>
      <c r="AB877" s="1518"/>
      <c r="AC877" s="1519"/>
      <c r="AL877" s="14"/>
      <c r="AM877" s="14"/>
      <c r="AN877" s="14"/>
      <c r="AO877" s="14"/>
      <c r="AP877" s="14"/>
      <c r="AQ877" s="14"/>
      <c r="AR877" s="14"/>
      <c r="AS877" s="14"/>
      <c r="AT877" s="14"/>
      <c r="AV877" s="4"/>
      <c r="AW877" s="4"/>
      <c r="AX877" s="4"/>
      <c r="AY877" s="4"/>
      <c r="AZ877" s="34"/>
      <c r="BA877" s="34"/>
      <c r="BB877" s="34"/>
      <c r="BC877" s="34"/>
    </row>
    <row r="878" spans="3:55" ht="12.95" customHeight="1">
      <c r="J878" s="45" t="s">
        <v>169</v>
      </c>
      <c r="K878" s="5"/>
      <c r="L878" s="5"/>
      <c r="M878" s="1604" t="s">
        <v>333</v>
      </c>
      <c r="N878" s="1605"/>
      <c r="O878" s="1605"/>
      <c r="P878" s="1605"/>
      <c r="Q878" s="1605"/>
      <c r="R878" s="1605"/>
      <c r="S878" s="1605"/>
      <c r="T878" s="1605"/>
      <c r="U878" s="1605"/>
      <c r="V878" s="1606"/>
      <c r="W878" s="1517"/>
      <c r="X878" s="1518"/>
      <c r="Y878" s="1518"/>
      <c r="Z878" s="1518"/>
      <c r="AA878" s="1518"/>
      <c r="AB878" s="1518"/>
      <c r="AC878" s="1519"/>
      <c r="AL878" s="14"/>
      <c r="AM878" s="14"/>
      <c r="AN878" s="14"/>
      <c r="AO878" s="14"/>
      <c r="AP878" s="14"/>
      <c r="AQ878" s="14"/>
      <c r="AR878" s="14"/>
      <c r="AS878" s="14"/>
      <c r="AT878" s="14"/>
      <c r="AV878" s="4"/>
      <c r="AW878" s="4"/>
      <c r="AX878" s="4"/>
      <c r="AY878" s="4"/>
      <c r="AZ878" s="34"/>
      <c r="BA878" s="34"/>
      <c r="BB878" s="34"/>
      <c r="BC878" s="34"/>
    </row>
    <row r="879" spans="3:55" ht="12.95" customHeight="1">
      <c r="J879" s="45"/>
      <c r="K879" s="5"/>
      <c r="L879" s="5"/>
      <c r="M879" s="5"/>
      <c r="N879" s="5"/>
      <c r="O879" s="5"/>
      <c r="P879" s="5"/>
      <c r="Q879" s="5"/>
      <c r="R879" s="5"/>
      <c r="S879" s="5"/>
      <c r="T879" s="5"/>
      <c r="U879" s="5"/>
      <c r="V879" s="54" t="s">
        <v>275</v>
      </c>
      <c r="W879" s="1386">
        <f>SUM(W874:W878)</f>
        <v>80040</v>
      </c>
      <c r="X879" s="1387"/>
      <c r="Y879" s="1387"/>
      <c r="Z879" s="1387"/>
      <c r="AA879" s="1387"/>
      <c r="AB879" s="1387"/>
      <c r="AC879" s="1388"/>
      <c r="AL879" s="14"/>
      <c r="AM879" s="14"/>
      <c r="AN879" s="14"/>
      <c r="AO879" s="14"/>
      <c r="AP879" s="14"/>
      <c r="AQ879" s="14"/>
      <c r="AR879" s="14"/>
      <c r="AS879" s="14"/>
      <c r="AT879" s="14"/>
      <c r="AV879" s="4"/>
      <c r="AW879" s="4"/>
      <c r="AX879" s="4"/>
      <c r="AY879" s="4"/>
      <c r="AZ879" s="34"/>
      <c r="BA879" s="34"/>
      <c r="BB879" s="34"/>
      <c r="BC879" s="34"/>
    </row>
    <row r="880" spans="3:55" ht="12.95"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2.95" customHeight="1">
      <c r="C881" s="2" t="s">
        <v>177</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2.95"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276</v>
      </c>
      <c r="AC883" s="1387">
        <f>W847+W855+W862+W863+W872+W879+W849</f>
        <v>1553706</v>
      </c>
      <c r="AD883" s="1387"/>
      <c r="AE883" s="1387"/>
      <c r="AF883" s="1387"/>
      <c r="AG883" s="1387"/>
      <c r="AH883" s="1388"/>
      <c r="AL883" s="4"/>
      <c r="AM883" s="4"/>
      <c r="AN883" s="4"/>
      <c r="AO883" s="4"/>
      <c r="AP883" s="4"/>
      <c r="AQ883" s="4"/>
      <c r="AR883" s="4"/>
      <c r="AS883" s="4"/>
      <c r="AT883" s="4"/>
      <c r="AV883" s="4"/>
      <c r="AW883" s="4"/>
      <c r="AX883" s="4"/>
      <c r="AY883" s="4"/>
      <c r="AZ883" s="34"/>
      <c r="BA883" s="34"/>
      <c r="BB883" s="34"/>
      <c r="BC883" s="34"/>
    </row>
    <row r="884" spans="3:55"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511</v>
      </c>
      <c r="AC884" s="1711">
        <f>O797+O777+G753</f>
        <v>272</v>
      </c>
      <c r="AD884" s="1711"/>
      <c r="AE884" s="1711"/>
      <c r="AF884" s="1711"/>
      <c r="AG884" s="1711"/>
      <c r="AH884" s="1712"/>
      <c r="AL884" s="4"/>
      <c r="AM884" s="4"/>
      <c r="AN884" s="4"/>
      <c r="AO884" s="4"/>
      <c r="AP884" s="4"/>
      <c r="AQ884" s="4"/>
      <c r="AR884" s="4"/>
      <c r="AS884" s="4"/>
      <c r="AT884" s="4"/>
      <c r="AZ884" s="34"/>
      <c r="BA884" s="34"/>
      <c r="BB884" s="34"/>
      <c r="BC884" s="34"/>
    </row>
    <row r="885" spans="3:55" ht="12.95" customHeight="1">
      <c r="C885" s="41"/>
      <c r="D885" s="42"/>
      <c r="E885" s="1637" t="s">
        <v>32</v>
      </c>
      <c r="F885" s="1637"/>
      <c r="G885" s="1637"/>
      <c r="H885" s="1637"/>
      <c r="I885" s="1637"/>
      <c r="J885" s="1637"/>
      <c r="K885" s="1637"/>
      <c r="L885" s="1637"/>
      <c r="M885" s="1637"/>
      <c r="N885" s="1637"/>
      <c r="O885" s="1637"/>
      <c r="P885" s="1637"/>
      <c r="Q885" s="1637"/>
      <c r="R885" s="1637"/>
      <c r="S885" s="1637"/>
      <c r="T885" s="1637"/>
      <c r="U885" s="1637"/>
      <c r="V885" s="1637"/>
      <c r="W885" s="1637"/>
      <c r="X885" s="1637"/>
      <c r="Y885" s="1637"/>
      <c r="Z885" s="1637"/>
      <c r="AA885" s="1637"/>
      <c r="AB885" s="1638"/>
      <c r="AC885" s="1648">
        <f>IF(ISERROR((ROUNDDOWN(AC883/AC884,0))),0,(ROUNDDOWN(AC883/AC884,0)))</f>
        <v>5712</v>
      </c>
      <c r="AD885" s="1648"/>
      <c r="AE885" s="1648"/>
      <c r="AF885" s="1648"/>
      <c r="AG885" s="1648"/>
      <c r="AH885" s="1648"/>
      <c r="AL885" s="4"/>
      <c r="AM885" s="4"/>
      <c r="AN885" s="4"/>
      <c r="AO885" s="4"/>
      <c r="AP885" s="4"/>
      <c r="AQ885" s="4"/>
      <c r="AR885" s="4"/>
      <c r="AS885" s="4"/>
      <c r="AT885" s="4"/>
      <c r="AZ885" s="34"/>
      <c r="BA885" s="34"/>
      <c r="BB885" s="34"/>
      <c r="BC885" s="34"/>
    </row>
    <row r="886" spans="3:55"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761</v>
      </c>
      <c r="AC886" s="1713">
        <f>'Sources and Uses Budget'!B75</f>
        <v>1338473</v>
      </c>
      <c r="AD886" s="1714"/>
      <c r="AE886" s="1714"/>
      <c r="AF886" s="1714"/>
      <c r="AG886" s="1714"/>
      <c r="AH886" s="1714"/>
      <c r="AL886" s="4"/>
      <c r="AM886" s="4"/>
      <c r="AN886" s="4"/>
      <c r="AO886" s="4"/>
      <c r="AP886" s="4"/>
      <c r="AQ886" s="4"/>
      <c r="AR886" s="4"/>
      <c r="AS886" s="4"/>
      <c r="AT886" s="4"/>
      <c r="AZ886" s="34"/>
      <c r="BA886" s="34"/>
      <c r="BB886" s="34"/>
      <c r="BC886" s="34"/>
    </row>
    <row r="887" spans="3:55"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1159</v>
      </c>
      <c r="AC887" s="1519">
        <v>0</v>
      </c>
      <c r="AD887" s="1529"/>
      <c r="AE887" s="1529"/>
      <c r="AF887" s="1529"/>
      <c r="AG887" s="1529"/>
      <c r="AH887" s="1529"/>
      <c r="AL887" s="4"/>
      <c r="AM887" s="4"/>
      <c r="AN887" s="4"/>
      <c r="AO887" s="4"/>
      <c r="AP887" s="4"/>
      <c r="AQ887" s="4"/>
      <c r="AR887" s="4"/>
      <c r="AS887" s="4"/>
      <c r="AT887" s="4"/>
      <c r="AZ887" s="34"/>
      <c r="BA887" s="34"/>
      <c r="BB887" s="34"/>
      <c r="BC887" s="34"/>
    </row>
    <row r="888" spans="3:55"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510</v>
      </c>
      <c r="AC888" s="1518">
        <v>19292</v>
      </c>
      <c r="AD888" s="1518"/>
      <c r="AE888" s="1518"/>
      <c r="AF888" s="1518"/>
      <c r="AG888" s="1518"/>
      <c r="AH888" s="1519"/>
      <c r="AL888" s="4"/>
      <c r="AM888" s="4"/>
      <c r="AN888" s="4"/>
      <c r="AO888" s="4"/>
      <c r="AP888" s="4"/>
      <c r="AQ888" s="4"/>
      <c r="AR888" s="4"/>
      <c r="AS888" s="4"/>
      <c r="AT888" s="4"/>
      <c r="AZ888" s="34"/>
      <c r="BA888" s="34"/>
      <c r="BB888" s="34"/>
      <c r="BC888" s="34"/>
    </row>
    <row r="889" spans="3:55"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18">
        <f>300*272</f>
        <v>81600</v>
      </c>
      <c r="AD889" s="1518"/>
      <c r="AE889" s="1518"/>
      <c r="AF889" s="1518"/>
      <c r="AG889" s="1518"/>
      <c r="AH889" s="1519"/>
      <c r="AZ889" s="34"/>
      <c r="BA889" s="34"/>
      <c r="BB889" s="34"/>
      <c r="BC889" s="34"/>
    </row>
    <row r="890" spans="3:55"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1677</v>
      </c>
      <c r="AC890" s="1520">
        <v>72789</v>
      </c>
      <c r="AD890" s="1521"/>
      <c r="AE890" s="1521"/>
      <c r="AF890" s="1521"/>
      <c r="AG890" s="1521"/>
      <c r="AH890" s="1522"/>
      <c r="AZ890" s="34"/>
      <c r="BA890" s="34"/>
      <c r="BB890" s="34"/>
      <c r="BC890" s="34"/>
    </row>
    <row r="891" spans="3:55"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18">
        <f>4122+564</f>
        <v>4686</v>
      </c>
      <c r="AD891" s="1518"/>
      <c r="AE891" s="1518"/>
      <c r="AF891" s="1518"/>
      <c r="AG891" s="1518"/>
      <c r="AH891" s="1519"/>
      <c r="AZ891" s="34"/>
      <c r="BA891" s="34"/>
      <c r="BB891" s="34"/>
      <c r="BC891" s="34"/>
    </row>
    <row r="892" spans="3:55" ht="12.95" hidden="1" customHeight="1">
      <c r="C892" s="1502" t="s">
        <v>2232</v>
      </c>
      <c r="D892" s="1503"/>
      <c r="E892" s="1503"/>
      <c r="F892" s="1503"/>
      <c r="G892" s="1503"/>
      <c r="H892" s="1503"/>
      <c r="I892" s="1503"/>
      <c r="J892" s="1503"/>
      <c r="K892" s="1503"/>
      <c r="L892" s="1503"/>
      <c r="M892" s="1503"/>
      <c r="N892" s="1503"/>
      <c r="O892" s="1503"/>
      <c r="P892" s="1503"/>
      <c r="Q892" s="1503"/>
      <c r="R892" s="1503"/>
      <c r="S892" s="1503"/>
      <c r="T892" s="1503"/>
      <c r="U892" s="1503"/>
      <c r="V892" s="1503"/>
      <c r="W892" s="1503"/>
      <c r="X892" s="1503"/>
      <c r="Y892" s="1503"/>
      <c r="Z892" s="1503"/>
      <c r="AA892" s="1503"/>
      <c r="AB892" s="1504"/>
      <c r="AC892" s="1518"/>
      <c r="AD892" s="1518"/>
      <c r="AE892" s="1518"/>
      <c r="AF892" s="1518"/>
      <c r="AG892" s="1518"/>
      <c r="AH892" s="1519"/>
      <c r="AZ892" s="34"/>
      <c r="BA892" s="34"/>
      <c r="BB892" s="34"/>
      <c r="BC892" s="34"/>
    </row>
    <row r="893" spans="3:55" ht="12.95"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1656</v>
      </c>
      <c r="AC893" s="1518">
        <v>0</v>
      </c>
      <c r="AD893" s="1518"/>
      <c r="AE893" s="1518"/>
      <c r="AF893" s="1518"/>
      <c r="AG893" s="1518"/>
      <c r="AH893" s="1519"/>
      <c r="AZ893" s="34"/>
      <c r="BA893" s="34"/>
      <c r="BB893" s="34"/>
      <c r="BC893" s="34"/>
    </row>
    <row r="894" spans="3:55" ht="12.95" customHeight="1">
      <c r="C894" s="1628" t="s">
        <v>956</v>
      </c>
      <c r="D894" s="1629"/>
      <c r="E894" s="1629"/>
      <c r="F894" s="1629"/>
      <c r="G894" s="1629"/>
      <c r="H894" s="1629"/>
      <c r="I894" s="1629"/>
      <c r="J894" s="1629"/>
      <c r="K894" s="1629"/>
      <c r="L894" s="1629"/>
      <c r="M894" s="1629"/>
      <c r="N894" s="1629"/>
      <c r="O894" s="1629"/>
      <c r="P894" s="1629"/>
      <c r="Q894" s="1629"/>
      <c r="R894" s="1629"/>
      <c r="S894" s="1629"/>
      <c r="T894" s="1629"/>
      <c r="U894" s="1629"/>
      <c r="V894" s="1629"/>
      <c r="W894" s="1629"/>
      <c r="X894" s="1629"/>
      <c r="Y894" s="1629"/>
      <c r="Z894" s="1629"/>
      <c r="AA894" s="1629"/>
      <c r="AB894" s="1630"/>
      <c r="AC894" s="1529"/>
      <c r="AD894" s="1529"/>
      <c r="AE894" s="1529"/>
      <c r="AF894" s="1529"/>
      <c r="AG894" s="1529"/>
      <c r="AH894" s="1529"/>
      <c r="AZ894" s="34"/>
      <c r="BA894" s="34"/>
      <c r="BB894" s="34"/>
      <c r="BC894" s="34"/>
    </row>
    <row r="895" spans="3:55" ht="12.95" customHeight="1">
      <c r="C895" s="1628" t="s">
        <v>956</v>
      </c>
      <c r="D895" s="1629"/>
      <c r="E895" s="1629"/>
      <c r="F895" s="1629"/>
      <c r="G895" s="1629"/>
      <c r="H895" s="1629"/>
      <c r="I895" s="1629"/>
      <c r="J895" s="1629"/>
      <c r="K895" s="1629"/>
      <c r="L895" s="1629"/>
      <c r="M895" s="1629"/>
      <c r="N895" s="1629"/>
      <c r="O895" s="1629"/>
      <c r="P895" s="1629"/>
      <c r="Q895" s="1629"/>
      <c r="R895" s="1629"/>
      <c r="S895" s="1629"/>
      <c r="T895" s="1629"/>
      <c r="U895" s="1629"/>
      <c r="V895" s="1629"/>
      <c r="W895" s="1629"/>
      <c r="X895" s="1629"/>
      <c r="Y895" s="1629"/>
      <c r="Z895" s="1629"/>
      <c r="AA895" s="1629"/>
      <c r="AB895" s="1630"/>
      <c r="AC895" s="1529"/>
      <c r="AD895" s="1529"/>
      <c r="AE895" s="1529"/>
      <c r="AF895" s="1529"/>
      <c r="AG895" s="1529"/>
      <c r="AH895" s="1529"/>
      <c r="AU895" s="95"/>
      <c r="AZ895" s="34"/>
      <c r="BA895" s="34"/>
      <c r="BB895" s="34"/>
      <c r="BC895" s="34"/>
    </row>
    <row r="896" spans="3:55" ht="12.95" customHeight="1">
      <c r="E896" s="512"/>
      <c r="AB896" s="56"/>
      <c r="AC896" s="123"/>
      <c r="AD896" s="123"/>
      <c r="AE896" s="123"/>
      <c r="AF896" s="123"/>
      <c r="AG896" s="123"/>
      <c r="AH896" s="123"/>
      <c r="AU896" s="95"/>
      <c r="AZ896" s="34"/>
      <c r="BA896" s="34"/>
      <c r="BB896" s="34"/>
      <c r="BC896" s="34"/>
    </row>
    <row r="897" spans="1:58" ht="12.95" customHeight="1">
      <c r="A897" s="2" t="s">
        <v>613</v>
      </c>
      <c r="C897" s="2" t="s">
        <v>236</v>
      </c>
      <c r="X897" s="12"/>
      <c r="Y897" s="12"/>
      <c r="Z897" s="12"/>
      <c r="AA897" s="12"/>
      <c r="AB897" s="12"/>
      <c r="AC897" s="12"/>
      <c r="AD897" s="12"/>
      <c r="AU897" s="95"/>
      <c r="AZ897" s="34"/>
      <c r="BB897" s="30"/>
      <c r="BC897" s="30"/>
    </row>
    <row r="898" spans="1:58" ht="12.95" customHeight="1">
      <c r="X898" s="12"/>
      <c r="Y898" s="12"/>
      <c r="Z898" s="12"/>
      <c r="AA898" s="12"/>
      <c r="AB898" s="12"/>
      <c r="AC898" s="12"/>
      <c r="AD898" s="12"/>
      <c r="AF898" s="533"/>
      <c r="AG898" s="180"/>
      <c r="AH898" s="180"/>
      <c r="AI898" s="180"/>
      <c r="AU898" s="95"/>
      <c r="AZ898" s="34"/>
      <c r="BB898" s="30"/>
      <c r="BC898" s="30"/>
      <c r="BD898" s="14"/>
      <c r="BE898" s="14"/>
      <c r="BF898" s="14"/>
    </row>
    <row r="899" spans="1:58" ht="12.95" customHeight="1">
      <c r="B899" s="2"/>
      <c r="H899" s="121" t="s">
        <v>237</v>
      </c>
      <c r="I899" s="5"/>
      <c r="J899" s="5"/>
      <c r="K899" s="5"/>
      <c r="L899" s="5"/>
      <c r="M899" s="5"/>
      <c r="N899" s="5"/>
      <c r="O899" s="5"/>
      <c r="P899" s="5"/>
      <c r="Q899" s="5"/>
      <c r="R899" s="5"/>
      <c r="S899" s="5"/>
      <c r="T899" s="5"/>
      <c r="U899" s="5"/>
      <c r="V899" s="5"/>
      <c r="W899" s="5"/>
      <c r="X899" s="5"/>
      <c r="Y899" s="46"/>
      <c r="Z899" s="1517">
        <v>0</v>
      </c>
      <c r="AA899" s="1518"/>
      <c r="AB899" s="1518"/>
      <c r="AC899" s="1518"/>
      <c r="AD899" s="1518"/>
      <c r="AE899" s="1519"/>
      <c r="AF899" s="533"/>
      <c r="AZ899" s="34"/>
      <c r="BB899" s="30"/>
      <c r="BC899" s="816"/>
      <c r="BD899" s="1624"/>
      <c r="BE899" s="1624"/>
      <c r="BF899" s="14"/>
    </row>
    <row r="900" spans="1:58" ht="12.95" customHeight="1">
      <c r="H900" s="121" t="s">
        <v>238</v>
      </c>
      <c r="I900" s="5"/>
      <c r="J900" s="5"/>
      <c r="K900" s="5"/>
      <c r="L900" s="5"/>
      <c r="M900" s="5"/>
      <c r="N900" s="5"/>
      <c r="O900" s="5"/>
      <c r="P900" s="5"/>
      <c r="Q900" s="5"/>
      <c r="R900" s="5"/>
      <c r="S900" s="5"/>
      <c r="T900" s="5"/>
      <c r="U900" s="5"/>
      <c r="V900" s="5"/>
      <c r="W900" s="5"/>
      <c r="X900" s="5"/>
      <c r="Y900" s="5"/>
      <c r="Z900" s="1517">
        <v>0</v>
      </c>
      <c r="AA900" s="1518"/>
      <c r="AB900" s="1518"/>
      <c r="AC900" s="1518"/>
      <c r="AD900" s="1518"/>
      <c r="AE900" s="1519"/>
      <c r="AZ900" s="34"/>
      <c r="BB900" s="30"/>
      <c r="BC900" s="816"/>
      <c r="BD900" s="1624"/>
      <c r="BE900" s="1624"/>
      <c r="BF900" s="14"/>
    </row>
    <row r="901" spans="1:58" ht="12.95" customHeight="1">
      <c r="H901" s="121" t="s">
        <v>239</v>
      </c>
      <c r="I901" s="5"/>
      <c r="J901" s="5"/>
      <c r="K901" s="5"/>
      <c r="L901" s="5"/>
      <c r="M901" s="5"/>
      <c r="N901" s="5"/>
      <c r="O901" s="5"/>
      <c r="P901" s="5"/>
      <c r="Q901" s="5"/>
      <c r="R901" s="5"/>
      <c r="S901" s="5"/>
      <c r="T901" s="5"/>
      <c r="U901" s="5"/>
      <c r="V901" s="5"/>
      <c r="W901" s="5"/>
      <c r="X901" s="5"/>
      <c r="Y901" s="5"/>
      <c r="Z901" s="1517">
        <v>0</v>
      </c>
      <c r="AA901" s="1518"/>
      <c r="AB901" s="1518"/>
      <c r="AC901" s="1518"/>
      <c r="AD901" s="1518"/>
      <c r="AE901" s="1519"/>
      <c r="AZ901" s="34"/>
      <c r="BB901" s="30"/>
      <c r="BC901" s="816"/>
      <c r="BD901" s="1623"/>
      <c r="BE901" s="1623"/>
      <c r="BF901" s="14"/>
    </row>
    <row r="902" spans="1:58" ht="12.95" customHeight="1">
      <c r="H902" s="45"/>
      <c r="I902" s="5"/>
      <c r="J902" s="5"/>
      <c r="K902" s="5"/>
      <c r="L902" s="5"/>
      <c r="M902" s="5"/>
      <c r="N902" s="5"/>
      <c r="O902" s="5"/>
      <c r="P902" s="5"/>
      <c r="Q902" s="5"/>
      <c r="R902" s="5"/>
      <c r="S902" s="5"/>
      <c r="T902" s="5"/>
      <c r="U902" s="5"/>
      <c r="V902" s="5"/>
      <c r="W902" s="5"/>
      <c r="X902" s="5"/>
      <c r="Y902" s="181" t="s">
        <v>240</v>
      </c>
      <c r="Z902" s="1386">
        <f>Z899-(Z900+Z901)</f>
        <v>0</v>
      </c>
      <c r="AA902" s="1387"/>
      <c r="AB902" s="1387"/>
      <c r="AC902" s="1387"/>
      <c r="AD902" s="1387"/>
      <c r="AE902" s="1388"/>
      <c r="AZ902" s="34"/>
      <c r="BB902" s="30"/>
      <c r="BC902" s="816"/>
      <c r="BD902" s="1623"/>
      <c r="BE902" s="1623"/>
      <c r="BF902" s="14"/>
    </row>
    <row r="903" spans="1:58" ht="12.95"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23"/>
      <c r="BE903" s="1623"/>
      <c r="BF903" s="14"/>
    </row>
    <row r="904" spans="1:58" ht="12.95" customHeight="1">
      <c r="C904" t="s">
        <v>244</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24"/>
      <c r="BE904" s="1623"/>
      <c r="BF904" s="14"/>
    </row>
    <row r="905" spans="1:58" ht="12.95" customHeight="1">
      <c r="C905" s="182" t="s">
        <v>245</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710"/>
      <c r="BE905" s="1710"/>
      <c r="BF905" s="1710"/>
    </row>
    <row r="906" spans="1:58" ht="12.95" customHeight="1">
      <c r="C906" s="182" t="s">
        <v>246</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57"/>
      <c r="BE906" s="1657"/>
      <c r="BF906" s="1657"/>
    </row>
    <row r="907" spans="1:58" ht="12.95" customHeight="1">
      <c r="C907" s="340" t="s">
        <v>1012</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23"/>
      <c r="BE907" s="1623"/>
      <c r="BF907" s="14"/>
    </row>
    <row r="908" spans="1:58" ht="12.95"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24"/>
      <c r="BE908" s="1623"/>
      <c r="BF908" s="14"/>
    </row>
    <row r="909" spans="1:58" ht="12.95" customHeight="1">
      <c r="AZ909" s="34"/>
      <c r="BB909" s="30"/>
      <c r="BC909" s="816"/>
    </row>
    <row r="910" spans="1:58" ht="12.95" customHeight="1">
      <c r="A910" s="1365" t="s">
        <v>96</v>
      </c>
      <c r="B910" s="1365"/>
      <c r="C910" s="1365"/>
      <c r="D910" s="1365"/>
      <c r="E910" s="1365"/>
      <c r="F910" s="1365"/>
      <c r="G910" s="1365"/>
      <c r="H910" s="1365"/>
      <c r="I910" s="1365"/>
      <c r="J910" s="1365"/>
      <c r="K910" s="1365"/>
      <c r="L910" s="1365"/>
      <c r="M910" s="1365"/>
      <c r="N910" s="1365"/>
      <c r="O910" s="1365"/>
      <c r="P910" s="1365"/>
      <c r="Q910" s="1365"/>
      <c r="R910" s="1365"/>
      <c r="S910" s="1365"/>
      <c r="T910" s="1365"/>
      <c r="U910" s="1365"/>
      <c r="V910" s="1365"/>
      <c r="W910" s="1365"/>
      <c r="X910" s="1365"/>
      <c r="Y910" s="1365"/>
      <c r="Z910" s="1365"/>
      <c r="AA910" s="1365"/>
      <c r="AB910" s="1365"/>
      <c r="AC910" s="1365"/>
      <c r="AD910" s="1365"/>
      <c r="AE910" s="1365"/>
      <c r="AF910" s="1365"/>
      <c r="AG910" s="1365"/>
      <c r="AH910" s="1365"/>
      <c r="AI910" s="1365"/>
      <c r="AJ910" s="1365"/>
      <c r="AK910" s="1365"/>
      <c r="AL910" s="1365"/>
      <c r="AM910" s="1365"/>
      <c r="AN910" s="1365"/>
      <c r="AO910" s="1365"/>
      <c r="AP910" s="1365"/>
      <c r="AQ910" s="1365"/>
      <c r="AR910" s="1365"/>
      <c r="AS910" s="1365"/>
      <c r="AT910" s="1365"/>
      <c r="AZ910" s="34"/>
      <c r="BA910" s="34"/>
      <c r="BB910" s="30"/>
      <c r="BC910" s="30"/>
      <c r="BD910" s="1624"/>
      <c r="BE910" s="1623"/>
      <c r="BF910" s="911"/>
    </row>
    <row r="911" spans="1:58" ht="12.95" customHeight="1">
      <c r="A911" s="1365"/>
      <c r="B911" s="1365"/>
      <c r="C911" s="1365"/>
      <c r="D911" s="1365"/>
      <c r="E911" s="1365"/>
      <c r="F911" s="1365"/>
      <c r="G911" s="1365"/>
      <c r="H911" s="1365"/>
      <c r="I911" s="1365"/>
      <c r="J911" s="1365"/>
      <c r="K911" s="1365"/>
      <c r="L911" s="1365"/>
      <c r="M911" s="1365"/>
      <c r="N911" s="1365"/>
      <c r="O911" s="1365"/>
      <c r="P911" s="1365"/>
      <c r="Q911" s="1365"/>
      <c r="R911" s="1365"/>
      <c r="S911" s="1365"/>
      <c r="T911" s="1365"/>
      <c r="U911" s="1365"/>
      <c r="V911" s="1365"/>
      <c r="W911" s="1365"/>
      <c r="X911" s="1365"/>
      <c r="Y911" s="1365"/>
      <c r="Z911" s="1365"/>
      <c r="AA911" s="1365"/>
      <c r="AB911" s="1365"/>
      <c r="AC911" s="1365"/>
      <c r="AD911" s="1365"/>
      <c r="AE911" s="1365"/>
      <c r="AF911" s="1365"/>
      <c r="AG911" s="1365"/>
      <c r="AH911" s="1365"/>
      <c r="AI911" s="1365"/>
      <c r="AJ911" s="1365"/>
      <c r="AK911" s="1365"/>
      <c r="AL911" s="1365"/>
      <c r="AM911" s="1365"/>
      <c r="AN911" s="1365"/>
      <c r="AO911" s="1365"/>
      <c r="AP911" s="1365"/>
      <c r="AQ911" s="1365"/>
      <c r="AR911" s="1365"/>
      <c r="AS911" s="1365"/>
      <c r="AT911" s="1365"/>
      <c r="AZ911" s="34"/>
      <c r="BA911" s="34"/>
      <c r="BB911" s="34"/>
      <c r="BC911" s="34"/>
      <c r="BD911" s="34"/>
      <c r="BE911" s="34"/>
      <c r="BF911" s="34"/>
    </row>
    <row r="912" spans="1:58" ht="12.95"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2.95" customHeight="1">
      <c r="A913" s="2" t="s">
        <v>318</v>
      </c>
      <c r="C913" s="2" t="s">
        <v>263</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2.95" customHeight="1">
      <c r="AZ914" s="34"/>
      <c r="BA914" s="34"/>
      <c r="BB914" s="34"/>
      <c r="BC914" s="34"/>
    </row>
    <row r="915" spans="1:58" ht="12.95" customHeight="1">
      <c r="F915" s="1639" t="s">
        <v>792</v>
      </c>
      <c r="G915" s="1640"/>
      <c r="H915" s="1640"/>
      <c r="I915" s="1640"/>
      <c r="J915" s="1640"/>
      <c r="K915" s="1640"/>
      <c r="L915" s="1640"/>
      <c r="M915" s="1640"/>
      <c r="N915" s="1640"/>
      <c r="O915" s="1640"/>
      <c r="P915" s="1640"/>
      <c r="Q915" s="1640"/>
      <c r="R915" s="1640"/>
      <c r="S915" s="1640"/>
      <c r="T915" s="1641"/>
      <c r="U915" s="1546" t="s">
        <v>31</v>
      </c>
      <c r="V915" s="1547"/>
      <c r="W915" s="1547"/>
      <c r="X915" s="1547"/>
      <c r="Y915" s="1547"/>
      <c r="Z915" s="1547"/>
      <c r="AA915" s="43"/>
      <c r="AB915" s="105"/>
      <c r="AC915" s="105"/>
      <c r="AD915" s="105"/>
      <c r="AE915" s="105"/>
      <c r="AF915" s="106"/>
      <c r="AZ915" s="34"/>
      <c r="BA915" s="34"/>
      <c r="BB915" s="34"/>
      <c r="BC915" s="34"/>
    </row>
    <row r="916" spans="1:58" ht="12.95" customHeight="1">
      <c r="B916" s="2"/>
      <c r="F916" s="1548" t="s">
        <v>818</v>
      </c>
      <c r="G916" s="1549"/>
      <c r="H916" s="1549"/>
      <c r="I916" s="1549"/>
      <c r="J916" s="1549"/>
      <c r="K916" s="1549"/>
      <c r="L916" s="1549"/>
      <c r="M916" s="1549"/>
      <c r="N916" s="1549"/>
      <c r="O916" s="1549"/>
      <c r="P916" s="1549"/>
      <c r="Q916" s="1549"/>
      <c r="R916" s="1549"/>
      <c r="S916" s="1549"/>
      <c r="T916" s="1610"/>
      <c r="U916" s="1548"/>
      <c r="V916" s="1549"/>
      <c r="W916" s="1549"/>
      <c r="X916" s="1549"/>
      <c r="Y916" s="1549"/>
      <c r="Z916" s="1549"/>
      <c r="AA916" s="44"/>
      <c r="AB916" s="4"/>
      <c r="AC916" s="4"/>
      <c r="AD916" s="4"/>
      <c r="AE916" s="4"/>
      <c r="AF916" s="107"/>
      <c r="AZ916" s="34"/>
      <c r="BA916" s="34"/>
      <c r="BB916" s="34"/>
      <c r="BC916" s="34"/>
    </row>
    <row r="917" spans="1:58" ht="12.95" customHeight="1">
      <c r="B917" s="2"/>
      <c r="F917" s="1550"/>
      <c r="G917" s="1551"/>
      <c r="H917" s="1551"/>
      <c r="I917" s="1551"/>
      <c r="J917" s="1551"/>
      <c r="K917" s="1551"/>
      <c r="L917" s="1551"/>
      <c r="M917" s="1551"/>
      <c r="N917" s="1551"/>
      <c r="O917" s="1551"/>
      <c r="P917" s="1551"/>
      <c r="Q917" s="1551"/>
      <c r="R917" s="1551"/>
      <c r="S917" s="1551"/>
      <c r="T917" s="1611"/>
      <c r="U917" s="1550"/>
      <c r="V917" s="1551"/>
      <c r="W917" s="1551"/>
      <c r="X917" s="1551"/>
      <c r="Y917" s="1551"/>
      <c r="Z917" s="1551"/>
      <c r="AA917" s="108"/>
      <c r="AB917" s="1702" t="s">
        <v>390</v>
      </c>
      <c r="AC917" s="1702"/>
      <c r="AD917" s="1702"/>
      <c r="AE917" s="1702"/>
      <c r="AF917" s="109"/>
      <c r="AZ917" s="34"/>
      <c r="BA917" s="34"/>
      <c r="BB917" s="34"/>
      <c r="BC917" s="34"/>
    </row>
    <row r="918" spans="1:58" ht="12.95" customHeight="1">
      <c r="B918" s="2"/>
      <c r="F918" s="45" t="s">
        <v>758</v>
      </c>
      <c r="G918" s="48"/>
      <c r="H918" s="48"/>
      <c r="I918" s="48"/>
      <c r="J918" s="48"/>
      <c r="K918" s="48"/>
      <c r="L918" s="48"/>
      <c r="M918" s="48"/>
      <c r="N918" s="48"/>
      <c r="O918" s="48"/>
      <c r="P918" s="48"/>
      <c r="Q918" s="48"/>
      <c r="R918" s="48"/>
      <c r="S918" s="48"/>
      <c r="T918" s="49"/>
      <c r="U918" s="1447" t="s">
        <v>545</v>
      </c>
      <c r="V918" s="1448"/>
      <c r="W918" s="1448"/>
      <c r="X918" s="1448"/>
      <c r="Y918" s="1448"/>
      <c r="Z918" s="1449"/>
      <c r="AA918" s="1453">
        <f>AM554+AM555</f>
        <v>52231271</v>
      </c>
      <c r="AB918" s="1454"/>
      <c r="AC918" s="1454"/>
      <c r="AD918" s="1454"/>
      <c r="AE918" s="1454"/>
      <c r="AF918" s="1455"/>
      <c r="AZ918" s="34"/>
      <c r="BA918" s="34"/>
      <c r="BB918" s="34"/>
      <c r="BC918" s="34"/>
    </row>
    <row r="919" spans="1:58" ht="12.95" customHeight="1">
      <c r="B919" s="2"/>
      <c r="F919" s="66" t="s">
        <v>675</v>
      </c>
      <c r="G919" s="48"/>
      <c r="H919" s="48"/>
      <c r="I919" s="48"/>
      <c r="J919" s="48"/>
      <c r="K919" s="48"/>
      <c r="L919" s="48"/>
      <c r="M919" s="48"/>
      <c r="N919" s="48"/>
      <c r="O919" s="48"/>
      <c r="P919" s="48"/>
      <c r="Q919" s="48"/>
      <c r="R919" s="48"/>
      <c r="S919" s="48"/>
      <c r="T919" s="49"/>
      <c r="U919" s="1447" t="s">
        <v>545</v>
      </c>
      <c r="V919" s="1448"/>
      <c r="W919" s="1448"/>
      <c r="X919" s="1448"/>
      <c r="Y919" s="1448"/>
      <c r="Z919" s="1449"/>
      <c r="AA919" s="1453">
        <f>AM556</f>
        <v>12755905</v>
      </c>
      <c r="AB919" s="1454"/>
      <c r="AC919" s="1454"/>
      <c r="AD919" s="1454"/>
      <c r="AE919" s="1454"/>
      <c r="AF919" s="1455"/>
      <c r="AZ919" s="34"/>
      <c r="BA919" s="34"/>
      <c r="BB919" s="34"/>
      <c r="BC919" s="34"/>
    </row>
    <row r="920" spans="1:58" ht="12.95" customHeight="1">
      <c r="F920" s="45" t="s">
        <v>801</v>
      </c>
      <c r="G920" s="5"/>
      <c r="H920" s="5"/>
      <c r="I920" s="5"/>
      <c r="J920" s="5"/>
      <c r="K920" s="5"/>
      <c r="L920" s="5"/>
      <c r="M920" s="5"/>
      <c r="N920" s="5"/>
      <c r="O920" s="5"/>
      <c r="P920" s="5"/>
      <c r="Q920" s="5"/>
      <c r="R920" s="5"/>
      <c r="S920" s="5"/>
      <c r="T920" s="46"/>
      <c r="U920" s="1447" t="s">
        <v>591</v>
      </c>
      <c r="V920" s="1448"/>
      <c r="W920" s="1448"/>
      <c r="X920" s="1448"/>
      <c r="Y920" s="1448"/>
      <c r="Z920" s="1449"/>
      <c r="AA920" s="1453"/>
      <c r="AB920" s="1454"/>
      <c r="AC920" s="1454"/>
      <c r="AD920" s="1454"/>
      <c r="AE920" s="1454"/>
      <c r="AF920" s="1455"/>
      <c r="AZ920" s="34"/>
      <c r="BA920" s="34"/>
      <c r="BB920" s="34"/>
      <c r="BC920" s="34"/>
    </row>
    <row r="921" spans="1:58" ht="12.95" customHeight="1">
      <c r="F921" s="45" t="s">
        <v>678</v>
      </c>
      <c r="G921" s="5"/>
      <c r="H921" s="5"/>
      <c r="I921" s="5"/>
      <c r="J921" s="5"/>
      <c r="K921" s="5"/>
      <c r="L921" s="5"/>
      <c r="M921" s="5"/>
      <c r="N921" s="5"/>
      <c r="O921" s="5"/>
      <c r="P921" s="5"/>
      <c r="Q921" s="5"/>
      <c r="R921" s="5"/>
      <c r="S921" s="5"/>
      <c r="T921" s="46"/>
      <c r="U921" s="1447" t="s">
        <v>591</v>
      </c>
      <c r="V921" s="1448"/>
      <c r="W921" s="1448"/>
      <c r="X921" s="1448"/>
      <c r="Y921" s="1448"/>
      <c r="Z921" s="1449"/>
      <c r="AA921" s="1453"/>
      <c r="AB921" s="1454"/>
      <c r="AC921" s="1454"/>
      <c r="AD921" s="1454"/>
      <c r="AE921" s="1454"/>
      <c r="AF921" s="1455"/>
      <c r="AZ921" s="34"/>
      <c r="BA921" s="34"/>
      <c r="BB921" s="34"/>
      <c r="BC921" s="34"/>
    </row>
    <row r="922" spans="1:58" ht="12.95" customHeight="1">
      <c r="F922" s="66" t="s">
        <v>786</v>
      </c>
      <c r="G922" s="5"/>
      <c r="H922" s="5"/>
      <c r="I922" s="5"/>
      <c r="J922" s="5"/>
      <c r="K922" s="5"/>
      <c r="L922" s="5"/>
      <c r="M922" s="5"/>
      <c r="N922" s="5"/>
      <c r="O922" s="5"/>
      <c r="P922" s="5"/>
      <c r="Q922" s="5"/>
      <c r="R922" s="5"/>
      <c r="S922" s="5"/>
      <c r="T922" s="46"/>
      <c r="U922" s="1447" t="s">
        <v>591</v>
      </c>
      <c r="V922" s="1448"/>
      <c r="W922" s="1448"/>
      <c r="X922" s="1448"/>
      <c r="Y922" s="1448"/>
      <c r="Z922" s="1449"/>
      <c r="AA922" s="1453"/>
      <c r="AB922" s="1454"/>
      <c r="AC922" s="1454"/>
      <c r="AD922" s="1454"/>
      <c r="AE922" s="1454"/>
      <c r="AF922" s="1455"/>
      <c r="AZ922" s="34"/>
      <c r="BA922" s="34"/>
      <c r="BB922" s="34"/>
      <c r="BC922" s="34"/>
    </row>
    <row r="923" spans="1:58" ht="12.95" customHeight="1">
      <c r="F923" s="66" t="s">
        <v>787</v>
      </c>
      <c r="G923" s="5"/>
      <c r="H923" s="5"/>
      <c r="I923" s="5"/>
      <c r="J923" s="5"/>
      <c r="K923" s="5"/>
      <c r="L923" s="5"/>
      <c r="M923" s="5"/>
      <c r="N923" s="5"/>
      <c r="O923" s="5"/>
      <c r="P923" s="5"/>
      <c r="Q923" s="5"/>
      <c r="R923" s="5"/>
      <c r="S923" s="5"/>
      <c r="T923" s="46"/>
      <c r="U923" s="1447" t="s">
        <v>591</v>
      </c>
      <c r="V923" s="1448"/>
      <c r="W923" s="1448"/>
      <c r="X923" s="1448"/>
      <c r="Y923" s="1448"/>
      <c r="Z923" s="1449"/>
      <c r="AA923" s="1453"/>
      <c r="AB923" s="1454"/>
      <c r="AC923" s="1454"/>
      <c r="AD923" s="1454"/>
      <c r="AE923" s="1454"/>
      <c r="AF923" s="1455"/>
      <c r="AZ923" s="34"/>
      <c r="BA923" s="34"/>
      <c r="BB923" s="34"/>
      <c r="BC923" s="34"/>
    </row>
    <row r="924" spans="1:58" ht="12.95" customHeight="1">
      <c r="F924" s="66" t="s">
        <v>788</v>
      </c>
      <c r="G924" s="5"/>
      <c r="H924" s="5"/>
      <c r="I924" s="5"/>
      <c r="J924" s="5"/>
      <c r="K924" s="5"/>
      <c r="L924" s="5"/>
      <c r="M924" s="5"/>
      <c r="N924" s="5"/>
      <c r="O924" s="5"/>
      <c r="P924" s="5"/>
      <c r="Q924" s="5"/>
      <c r="R924" s="5"/>
      <c r="S924" s="5"/>
      <c r="T924" s="46"/>
      <c r="U924" s="1447" t="s">
        <v>591</v>
      </c>
      <c r="V924" s="1448"/>
      <c r="W924" s="1448"/>
      <c r="X924" s="1448"/>
      <c r="Y924" s="1448"/>
      <c r="Z924" s="1449"/>
      <c r="AA924" s="1453"/>
      <c r="AB924" s="1454"/>
      <c r="AC924" s="1454"/>
      <c r="AD924" s="1454"/>
      <c r="AE924" s="1454"/>
      <c r="AF924" s="1455"/>
      <c r="AZ924" s="34"/>
      <c r="BA924" s="34"/>
      <c r="BB924" s="34"/>
      <c r="BC924" s="34"/>
    </row>
    <row r="925" spans="1:58" ht="12.95" customHeight="1">
      <c r="F925" s="45" t="s">
        <v>677</v>
      </c>
      <c r="G925" s="5"/>
      <c r="H925" s="5"/>
      <c r="I925" s="5"/>
      <c r="J925" s="5"/>
      <c r="K925" s="5"/>
      <c r="L925" s="5"/>
      <c r="M925" s="5"/>
      <c r="N925" s="5"/>
      <c r="O925" s="5"/>
      <c r="P925" s="5"/>
      <c r="Q925" s="5"/>
      <c r="R925" s="5"/>
      <c r="S925" s="5"/>
      <c r="T925" s="46"/>
      <c r="U925" s="1447" t="s">
        <v>591</v>
      </c>
      <c r="V925" s="1448"/>
      <c r="W925" s="1448"/>
      <c r="X925" s="1448"/>
      <c r="Y925" s="1448"/>
      <c r="Z925" s="1449"/>
      <c r="AA925" s="1453"/>
      <c r="AB925" s="1454"/>
      <c r="AC925" s="1454"/>
      <c r="AD925" s="1454"/>
      <c r="AE925" s="1454"/>
      <c r="AF925" s="1455"/>
      <c r="AZ925" s="34"/>
      <c r="BA925" s="34"/>
      <c r="BB925" s="34"/>
      <c r="BC925" s="34"/>
    </row>
    <row r="926" spans="1:58" ht="12.95" customHeight="1">
      <c r="F926" s="1612" t="s">
        <v>2192</v>
      </c>
      <c r="G926" s="1613"/>
      <c r="H926" s="1613"/>
      <c r="I926" s="1613"/>
      <c r="J926" s="1613"/>
      <c r="K926" s="1613"/>
      <c r="L926" s="1613"/>
      <c r="M926" s="1613"/>
      <c r="N926" s="1613"/>
      <c r="O926" s="1613"/>
      <c r="P926" s="1613"/>
      <c r="Q926" s="1613"/>
      <c r="R926" s="1613"/>
      <c r="S926" s="1613"/>
      <c r="T926" s="1614"/>
      <c r="U926" s="1447" t="s">
        <v>591</v>
      </c>
      <c r="V926" s="1448"/>
      <c r="W926" s="1448"/>
      <c r="X926" s="1448"/>
      <c r="Y926" s="1448"/>
      <c r="Z926" s="1449"/>
      <c r="AA926" s="1453"/>
      <c r="AB926" s="1454"/>
      <c r="AC926" s="1454"/>
      <c r="AD926" s="1454"/>
      <c r="AE926" s="1454"/>
      <c r="AF926" s="1455"/>
      <c r="AZ926" s="34"/>
      <c r="BA926" s="34"/>
      <c r="BB926" s="34"/>
      <c r="BC926" s="34"/>
    </row>
    <row r="927" spans="1:58" ht="12.95" customHeight="1">
      <c r="F927" s="1612" t="s">
        <v>679</v>
      </c>
      <c r="G927" s="1613"/>
      <c r="H927" s="1613"/>
      <c r="I927" s="1613"/>
      <c r="J927" s="1613"/>
      <c r="K927" s="1613"/>
      <c r="L927" s="1613"/>
      <c r="M927" s="1613"/>
      <c r="N927" s="1613"/>
      <c r="O927" s="1613"/>
      <c r="P927" s="1613"/>
      <c r="Q927" s="1613"/>
      <c r="R927" s="1613"/>
      <c r="S927" s="1613"/>
      <c r="T927" s="1614"/>
      <c r="U927" s="1447" t="s">
        <v>591</v>
      </c>
      <c r="V927" s="1448"/>
      <c r="W927" s="1448"/>
      <c r="X927" s="1448"/>
      <c r="Y927" s="1448"/>
      <c r="Z927" s="1449"/>
      <c r="AA927" s="1453"/>
      <c r="AB927" s="1454"/>
      <c r="AC927" s="1454"/>
      <c r="AD927" s="1454"/>
      <c r="AE927" s="1454"/>
      <c r="AF927" s="1455"/>
      <c r="AU927" s="2"/>
      <c r="AZ927" s="34"/>
      <c r="BA927" s="34"/>
      <c r="BB927" s="34"/>
      <c r="BC927" s="34"/>
    </row>
    <row r="928" spans="1:58" ht="12.95" customHeight="1">
      <c r="F928" s="1612" t="s">
        <v>2193</v>
      </c>
      <c r="G928" s="1613"/>
      <c r="H928" s="1613"/>
      <c r="I928" s="1613"/>
      <c r="J928" s="1613"/>
      <c r="K928" s="1613"/>
      <c r="L928" s="1613"/>
      <c r="M928" s="1613"/>
      <c r="N928" s="1613"/>
      <c r="O928" s="1613"/>
      <c r="P928" s="1613"/>
      <c r="Q928" s="1613"/>
      <c r="R928" s="1613"/>
      <c r="S928" s="1613"/>
      <c r="T928" s="1614"/>
      <c r="U928" s="1447" t="s">
        <v>591</v>
      </c>
      <c r="V928" s="1448"/>
      <c r="W928" s="1448"/>
      <c r="X928" s="1448"/>
      <c r="Y928" s="1448"/>
      <c r="Z928" s="1449"/>
      <c r="AA928" s="1453"/>
      <c r="AB928" s="1454"/>
      <c r="AC928" s="1454"/>
      <c r="AD928" s="1454"/>
      <c r="AE928" s="1454"/>
      <c r="AF928" s="1455"/>
      <c r="AU928" s="2"/>
      <c r="AZ928" s="34"/>
      <c r="BA928" s="34"/>
      <c r="BB928" s="34"/>
      <c r="BC928" s="34"/>
    </row>
    <row r="929" spans="6:55" ht="12.95" customHeight="1">
      <c r="F929" s="1612" t="s">
        <v>2194</v>
      </c>
      <c r="G929" s="1613"/>
      <c r="H929" s="1613"/>
      <c r="I929" s="1613"/>
      <c r="J929" s="1613"/>
      <c r="K929" s="1613"/>
      <c r="L929" s="1613"/>
      <c r="M929" s="1613"/>
      <c r="N929" s="1613"/>
      <c r="O929" s="1613"/>
      <c r="P929" s="1613"/>
      <c r="Q929" s="1613"/>
      <c r="R929" s="1613"/>
      <c r="S929" s="1613"/>
      <c r="T929" s="1614"/>
      <c r="U929" s="1447" t="s">
        <v>591</v>
      </c>
      <c r="V929" s="1448"/>
      <c r="W929" s="1448"/>
      <c r="X929" s="1448"/>
      <c r="Y929" s="1448"/>
      <c r="Z929" s="1449"/>
      <c r="AA929" s="1453"/>
      <c r="AB929" s="1454"/>
      <c r="AC929" s="1454"/>
      <c r="AD929" s="1454"/>
      <c r="AE929" s="1454"/>
      <c r="AF929" s="1455"/>
      <c r="AU929" s="2"/>
      <c r="AZ929" s="34"/>
      <c r="BA929" s="34"/>
      <c r="BB929" s="34"/>
      <c r="BC929" s="34"/>
    </row>
    <row r="930" spans="6:55" ht="12.95" customHeight="1">
      <c r="F930" s="1612" t="s">
        <v>2195</v>
      </c>
      <c r="G930" s="1613"/>
      <c r="H930" s="1613"/>
      <c r="I930" s="1613"/>
      <c r="J930" s="1613"/>
      <c r="K930" s="1613"/>
      <c r="L930" s="1613"/>
      <c r="M930" s="1613"/>
      <c r="N930" s="1613"/>
      <c r="O930" s="1613"/>
      <c r="P930" s="1613"/>
      <c r="Q930" s="1613"/>
      <c r="R930" s="1613"/>
      <c r="S930" s="1613"/>
      <c r="T930" s="1614"/>
      <c r="U930" s="1447" t="s">
        <v>591</v>
      </c>
      <c r="V930" s="1448"/>
      <c r="W930" s="1448"/>
      <c r="X930" s="1448"/>
      <c r="Y930" s="1448"/>
      <c r="Z930" s="1449"/>
      <c r="AA930" s="1453"/>
      <c r="AB930" s="1454"/>
      <c r="AC930" s="1454"/>
      <c r="AD930" s="1454"/>
      <c r="AE930" s="1454"/>
      <c r="AF930" s="1455"/>
      <c r="AU930" s="2"/>
      <c r="AZ930" s="34"/>
      <c r="BA930" s="34"/>
      <c r="BB930" s="34"/>
      <c r="BC930" s="34"/>
    </row>
    <row r="931" spans="6:55" ht="12.95" customHeight="1">
      <c r="F931" s="1612" t="s">
        <v>2196</v>
      </c>
      <c r="G931" s="1613"/>
      <c r="H931" s="1613"/>
      <c r="I931" s="1613"/>
      <c r="J931" s="1613"/>
      <c r="K931" s="1613"/>
      <c r="L931" s="1613"/>
      <c r="M931" s="1613"/>
      <c r="N931" s="1613"/>
      <c r="O931" s="1613"/>
      <c r="P931" s="1613"/>
      <c r="Q931" s="1613"/>
      <c r="R931" s="1613"/>
      <c r="S931" s="1613"/>
      <c r="T931" s="1614"/>
      <c r="U931" s="1447" t="s">
        <v>591</v>
      </c>
      <c r="V931" s="1448"/>
      <c r="W931" s="1448"/>
      <c r="X931" s="1448"/>
      <c r="Y931" s="1448"/>
      <c r="Z931" s="1449"/>
      <c r="AA931" s="1453"/>
      <c r="AB931" s="1454"/>
      <c r="AC931" s="1454"/>
      <c r="AD931" s="1454"/>
      <c r="AE931" s="1454"/>
      <c r="AF931" s="1455"/>
      <c r="AU931" s="2"/>
      <c r="AZ931" s="34"/>
      <c r="BA931" s="34"/>
      <c r="BB931" s="34"/>
      <c r="BC931" s="34"/>
    </row>
    <row r="932" spans="6:55" ht="12.95" customHeight="1">
      <c r="F932" s="1612" t="s">
        <v>2197</v>
      </c>
      <c r="G932" s="1613"/>
      <c r="H932" s="1613"/>
      <c r="I932" s="1613"/>
      <c r="J932" s="1613"/>
      <c r="K932" s="1613"/>
      <c r="L932" s="1613"/>
      <c r="M932" s="1613"/>
      <c r="N932" s="1613"/>
      <c r="O932" s="1613"/>
      <c r="P932" s="1613"/>
      <c r="Q932" s="1613"/>
      <c r="R932" s="1613"/>
      <c r="S932" s="1613"/>
      <c r="T932" s="1614"/>
      <c r="U932" s="1447" t="s">
        <v>591</v>
      </c>
      <c r="V932" s="1448"/>
      <c r="W932" s="1448"/>
      <c r="X932" s="1448"/>
      <c r="Y932" s="1448"/>
      <c r="Z932" s="1449"/>
      <c r="AA932" s="1453"/>
      <c r="AB932" s="1454"/>
      <c r="AC932" s="1454"/>
      <c r="AD932" s="1454"/>
      <c r="AE932" s="1454"/>
      <c r="AF932" s="1455"/>
      <c r="AZ932" s="30"/>
      <c r="BA932" s="30"/>
    </row>
    <row r="933" spans="6:55" ht="12.95" customHeight="1">
      <c r="F933" s="178" t="s">
        <v>676</v>
      </c>
      <c r="G933" s="5"/>
      <c r="H933" s="5"/>
      <c r="I933" s="5"/>
      <c r="J933" s="5"/>
      <c r="K933" s="5"/>
      <c r="L933" s="5"/>
      <c r="M933" s="5"/>
      <c r="N933" s="5"/>
      <c r="O933" s="5"/>
      <c r="P933" s="5"/>
      <c r="Q933" s="5"/>
      <c r="R933" s="5"/>
      <c r="S933" s="5"/>
      <c r="T933" s="46"/>
      <c r="U933" s="1447" t="s">
        <v>591</v>
      </c>
      <c r="V933" s="1448"/>
      <c r="W933" s="1448"/>
      <c r="X933" s="1448"/>
      <c r="Y933" s="1448"/>
      <c r="Z933" s="1449"/>
      <c r="AA933" s="1453"/>
      <c r="AB933" s="1454"/>
      <c r="AC933" s="1454"/>
      <c r="AD933" s="1454"/>
      <c r="AE933" s="1454"/>
      <c r="AF933" s="1455"/>
    </row>
    <row r="934" spans="6:55" ht="12.95" customHeight="1">
      <c r="F934" s="121" t="s">
        <v>1276</v>
      </c>
      <c r="G934" s="5"/>
      <c r="H934" s="5"/>
      <c r="I934" s="5"/>
      <c r="J934" s="5"/>
      <c r="K934" s="5"/>
      <c r="L934" s="5"/>
      <c r="M934" s="5"/>
      <c r="N934" s="5"/>
      <c r="O934" s="5"/>
      <c r="P934" s="5"/>
      <c r="Q934" s="5"/>
      <c r="R934" s="5"/>
      <c r="S934" s="5"/>
      <c r="T934" s="46"/>
      <c r="U934" s="1447" t="s">
        <v>591</v>
      </c>
      <c r="V934" s="1448"/>
      <c r="W934" s="1448"/>
      <c r="X934" s="1448"/>
      <c r="Y934" s="1448"/>
      <c r="Z934" s="1449"/>
      <c r="AA934" s="1453"/>
      <c r="AB934" s="1454"/>
      <c r="AC934" s="1454"/>
      <c r="AD934" s="1454"/>
      <c r="AE934" s="1454"/>
      <c r="AF934" s="1455"/>
      <c r="AZ934" s="30"/>
      <c r="BA934" s="14"/>
    </row>
    <row r="935" spans="6:55" ht="12.95" customHeight="1">
      <c r="F935" s="66" t="s">
        <v>802</v>
      </c>
      <c r="G935" s="5"/>
      <c r="H935" s="5"/>
      <c r="I935" s="5"/>
      <c r="J935" s="5"/>
      <c r="K935" s="5"/>
      <c r="L935" s="5"/>
      <c r="M935" s="5"/>
      <c r="N935" s="5"/>
      <c r="O935" s="5"/>
      <c r="P935" s="5"/>
      <c r="Q935" s="5"/>
      <c r="R935" s="5"/>
      <c r="S935" s="5"/>
      <c r="T935" s="46"/>
      <c r="U935" s="1447" t="s">
        <v>591</v>
      </c>
      <c r="V935" s="1448"/>
      <c r="W935" s="1448"/>
      <c r="X935" s="1448"/>
      <c r="Y935" s="1448"/>
      <c r="Z935" s="1449"/>
      <c r="AA935" s="1453"/>
      <c r="AB935" s="1454"/>
      <c r="AC935" s="1454"/>
      <c r="AD935" s="1454"/>
      <c r="AE935" s="1454"/>
      <c r="AF935" s="1455"/>
      <c r="AZ935" s="30"/>
      <c r="BA935" s="14"/>
    </row>
    <row r="936" spans="6:55" ht="12.95" customHeight="1">
      <c r="F936" s="1642" t="s">
        <v>2201</v>
      </c>
      <c r="G936" s="1643"/>
      <c r="H936" s="1643"/>
      <c r="I936" s="1643"/>
      <c r="J936" s="1643"/>
      <c r="K936" s="1643"/>
      <c r="L936" s="1643"/>
      <c r="M936" s="1643"/>
      <c r="N936" s="1643"/>
      <c r="O936" s="1643"/>
      <c r="P936" s="1643"/>
      <c r="Q936" s="1643"/>
      <c r="R936" s="1643"/>
      <c r="S936" s="1643"/>
      <c r="T936" s="1644"/>
      <c r="U936" s="1447" t="s">
        <v>591</v>
      </c>
      <c r="V936" s="1448"/>
      <c r="W936" s="1448"/>
      <c r="X936" s="1448"/>
      <c r="Y936" s="1448"/>
      <c r="Z936" s="1449"/>
      <c r="AA936" s="1453"/>
      <c r="AB936" s="1454"/>
      <c r="AC936" s="1454"/>
      <c r="AD936" s="1454"/>
      <c r="AE936" s="1454"/>
      <c r="AF936" s="1455"/>
      <c r="AZ936" s="30"/>
      <c r="BA936" s="14"/>
    </row>
    <row r="937" spans="6:55" ht="12.95" customHeight="1">
      <c r="F937" s="1642" t="s">
        <v>2202</v>
      </c>
      <c r="G937" s="1643"/>
      <c r="H937" s="1643"/>
      <c r="I937" s="1643"/>
      <c r="J937" s="1643"/>
      <c r="K937" s="1643"/>
      <c r="L937" s="1643"/>
      <c r="M937" s="1643"/>
      <c r="N937" s="1643"/>
      <c r="O937" s="1643"/>
      <c r="P937" s="1643"/>
      <c r="Q937" s="1643"/>
      <c r="R937" s="1643"/>
      <c r="S937" s="1643"/>
      <c r="T937" s="1644"/>
      <c r="U937" s="1447" t="s">
        <v>591</v>
      </c>
      <c r="V937" s="1448"/>
      <c r="W937" s="1448"/>
      <c r="X937" s="1448"/>
      <c r="Y937" s="1448"/>
      <c r="Z937" s="1449"/>
      <c r="AA937" s="1453"/>
      <c r="AB937" s="1454"/>
      <c r="AC937" s="1454"/>
      <c r="AD937" s="1454"/>
      <c r="AE937" s="1454"/>
      <c r="AF937" s="1455"/>
      <c r="AZ937" s="30"/>
      <c r="BA937" s="30"/>
    </row>
    <row r="938" spans="6:55" ht="12.95" customHeight="1">
      <c r="F938" s="1612" t="s">
        <v>2198</v>
      </c>
      <c r="G938" s="1613"/>
      <c r="H938" s="1613"/>
      <c r="I938" s="1613"/>
      <c r="J938" s="1613"/>
      <c r="K938" s="1613"/>
      <c r="L938" s="1613"/>
      <c r="M938" s="1613"/>
      <c r="N938" s="1613"/>
      <c r="O938" s="1613"/>
      <c r="P938" s="1613"/>
      <c r="Q938" s="1613"/>
      <c r="R938" s="1613"/>
      <c r="S938" s="1613"/>
      <c r="T938" s="1614"/>
      <c r="U938" s="1447" t="s">
        <v>591</v>
      </c>
      <c r="V938" s="1448"/>
      <c r="W938" s="1448"/>
      <c r="X938" s="1448"/>
      <c r="Y938" s="1448"/>
      <c r="Z938" s="1449"/>
      <c r="AA938" s="1453"/>
      <c r="AB938" s="1454"/>
      <c r="AC938" s="1454"/>
      <c r="AD938" s="1454"/>
      <c r="AE938" s="1454"/>
      <c r="AF938" s="1455"/>
      <c r="AZ938" s="30"/>
      <c r="BA938" s="30"/>
    </row>
    <row r="939" spans="6:55" ht="12.95" customHeight="1">
      <c r="F939" s="1612" t="s">
        <v>2199</v>
      </c>
      <c r="G939" s="1613"/>
      <c r="H939" s="1613"/>
      <c r="I939" s="1613"/>
      <c r="J939" s="1613"/>
      <c r="K939" s="1613"/>
      <c r="L939" s="1613"/>
      <c r="M939" s="1613"/>
      <c r="N939" s="1613"/>
      <c r="O939" s="1613"/>
      <c r="P939" s="1613"/>
      <c r="Q939" s="1613"/>
      <c r="R939" s="1613"/>
      <c r="S939" s="1613"/>
      <c r="T939" s="1614"/>
      <c r="U939" s="1447" t="s">
        <v>591</v>
      </c>
      <c r="V939" s="1448"/>
      <c r="W939" s="1448"/>
      <c r="X939" s="1448"/>
      <c r="Y939" s="1448"/>
      <c r="Z939" s="1449"/>
      <c r="AA939" s="1453"/>
      <c r="AB939" s="1454"/>
      <c r="AC939" s="1454"/>
      <c r="AD939" s="1454"/>
      <c r="AE939" s="1454"/>
      <c r="AF939" s="1455"/>
      <c r="AZ939" s="30"/>
      <c r="BA939" s="30"/>
    </row>
    <row r="940" spans="6:55" ht="12.95" customHeight="1">
      <c r="F940" s="1612" t="s">
        <v>2200</v>
      </c>
      <c r="G940" s="1613"/>
      <c r="H940" s="1613"/>
      <c r="I940" s="1613"/>
      <c r="J940" s="1613"/>
      <c r="K940" s="1613"/>
      <c r="L940" s="1613"/>
      <c r="M940" s="1613"/>
      <c r="N940" s="1613"/>
      <c r="O940" s="1613"/>
      <c r="P940" s="1613"/>
      <c r="Q940" s="1613"/>
      <c r="R940" s="1613"/>
      <c r="S940" s="1613"/>
      <c r="T940" s="1614"/>
      <c r="U940" s="1447" t="s">
        <v>591</v>
      </c>
      <c r="V940" s="1448"/>
      <c r="W940" s="1448"/>
      <c r="X940" s="1448"/>
      <c r="Y940" s="1448"/>
      <c r="Z940" s="1449"/>
      <c r="AA940" s="1453"/>
      <c r="AB940" s="1454"/>
      <c r="AC940" s="1454"/>
      <c r="AD940" s="1454"/>
      <c r="AE940" s="1454"/>
      <c r="AF940" s="1455"/>
      <c r="AZ940" s="34"/>
      <c r="BA940" s="34"/>
      <c r="BB940" s="14"/>
      <c r="BC940" s="14"/>
    </row>
    <row r="941" spans="6:55" ht="12.95" customHeight="1">
      <c r="F941" s="121" t="s">
        <v>1260</v>
      </c>
      <c r="G941" s="5"/>
      <c r="H941" s="5"/>
      <c r="I941" s="5"/>
      <c r="J941" s="5"/>
      <c r="K941" s="5"/>
      <c r="L941" s="5"/>
      <c r="M941" s="5"/>
      <c r="N941" s="5"/>
      <c r="O941" s="5"/>
      <c r="P941" s="5"/>
      <c r="Q941" s="5"/>
      <c r="R941" s="5"/>
      <c r="S941" s="5"/>
      <c r="T941" s="46"/>
      <c r="U941" s="1447" t="s">
        <v>591</v>
      </c>
      <c r="V941" s="1448"/>
      <c r="W941" s="1448"/>
      <c r="X941" s="1448"/>
      <c r="Y941" s="1448"/>
      <c r="Z941" s="1449"/>
      <c r="AA941" s="1453"/>
      <c r="AB941" s="1454"/>
      <c r="AC941" s="1454"/>
      <c r="AD941" s="1454"/>
      <c r="AE941" s="1454"/>
      <c r="AF941" s="1455"/>
      <c r="AZ941" s="34"/>
      <c r="BA941" s="34"/>
      <c r="BB941" s="14"/>
      <c r="BC941" s="14"/>
    </row>
    <row r="942" spans="6:55" ht="12.95" customHeight="1">
      <c r="F942" s="1642" t="s">
        <v>2203</v>
      </c>
      <c r="G942" s="1643"/>
      <c r="H942" s="1643"/>
      <c r="I942" s="1643"/>
      <c r="J942" s="1643"/>
      <c r="K942" s="1643"/>
      <c r="L942" s="1643"/>
      <c r="M942" s="1643"/>
      <c r="N942" s="1643"/>
      <c r="O942" s="1643"/>
      <c r="P942" s="1643"/>
      <c r="Q942" s="1643"/>
      <c r="R942" s="1643"/>
      <c r="S942" s="1643"/>
      <c r="T942" s="1644"/>
      <c r="U942" s="1447" t="s">
        <v>591</v>
      </c>
      <c r="V942" s="1448"/>
      <c r="W942" s="1448"/>
      <c r="X942" s="1448"/>
      <c r="Y942" s="1448"/>
      <c r="Z942" s="1449"/>
      <c r="AA942" s="1453"/>
      <c r="AB942" s="1454"/>
      <c r="AC942" s="1454"/>
      <c r="AD942" s="1454"/>
      <c r="AE942" s="1454"/>
      <c r="AF942" s="1455"/>
      <c r="AZ942" s="34"/>
      <c r="BA942" s="34"/>
      <c r="BB942" s="34"/>
      <c r="BC942" s="34"/>
    </row>
    <row r="943" spans="6:55" ht="12.95" customHeight="1">
      <c r="F943" s="121" t="s">
        <v>1261</v>
      </c>
      <c r="G943" s="5"/>
      <c r="H943" s="5"/>
      <c r="I943" s="5"/>
      <c r="J943" s="5"/>
      <c r="K943" s="5"/>
      <c r="L943" s="5"/>
      <c r="M943" s="5"/>
      <c r="N943" s="5"/>
      <c r="O943" s="5"/>
      <c r="P943" s="5"/>
      <c r="Q943" s="5"/>
      <c r="R943" s="5"/>
      <c r="S943" s="5"/>
      <c r="T943" s="46"/>
      <c r="U943" s="1447" t="s">
        <v>591</v>
      </c>
      <c r="V943" s="1448"/>
      <c r="W943" s="1448"/>
      <c r="X943" s="1448"/>
      <c r="Y943" s="1448"/>
      <c r="Z943" s="1449"/>
      <c r="AA943" s="1453"/>
      <c r="AB943" s="1454"/>
      <c r="AC943" s="1454"/>
      <c r="AD943" s="1454"/>
      <c r="AE943" s="1454"/>
      <c r="AF943" s="1455"/>
      <c r="AZ943" s="34"/>
      <c r="BA943" s="34"/>
      <c r="BB943" s="34"/>
      <c r="BC943" s="34"/>
    </row>
    <row r="944" spans="6:55" ht="12.95" customHeight="1">
      <c r="F944" s="1642" t="s">
        <v>2204</v>
      </c>
      <c r="G944" s="1643"/>
      <c r="H944" s="1643"/>
      <c r="I944" s="1643"/>
      <c r="J944" s="1643"/>
      <c r="K944" s="1643"/>
      <c r="L944" s="1643"/>
      <c r="M944" s="1643"/>
      <c r="N944" s="1643"/>
      <c r="O944" s="1643"/>
      <c r="P944" s="1643"/>
      <c r="Q944" s="1643"/>
      <c r="R944" s="1643"/>
      <c r="S944" s="1643"/>
      <c r="T944" s="1644"/>
      <c r="U944" s="1447" t="s">
        <v>591</v>
      </c>
      <c r="V944" s="1448"/>
      <c r="W944" s="1448"/>
      <c r="X944" s="1448"/>
      <c r="Y944" s="1448"/>
      <c r="Z944" s="1449"/>
      <c r="AA944" s="1453"/>
      <c r="AB944" s="1454"/>
      <c r="AC944" s="1454"/>
      <c r="AD944" s="1454"/>
      <c r="AE944" s="1454"/>
      <c r="AF944" s="1455"/>
      <c r="AZ944" s="34"/>
      <c r="BA944" s="34"/>
      <c r="BB944" s="34"/>
      <c r="BC944" s="34"/>
    </row>
    <row r="945" spans="1:55" ht="12.95" customHeight="1">
      <c r="F945" s="45" t="s">
        <v>806</v>
      </c>
      <c r="G945" s="5"/>
      <c r="H945" s="5"/>
      <c r="I945" s="5"/>
      <c r="J945" s="5"/>
      <c r="K945" s="5"/>
      <c r="L945" s="5"/>
      <c r="M945" s="5"/>
      <c r="N945" s="5"/>
      <c r="O945" s="5"/>
      <c r="P945" s="1447" t="s">
        <v>669</v>
      </c>
      <c r="Q945" s="1448"/>
      <c r="R945" s="1448"/>
      <c r="S945" s="1448"/>
      <c r="T945" s="1449"/>
      <c r="U945" s="1447" t="s">
        <v>591</v>
      </c>
      <c r="V945" s="1448"/>
      <c r="W945" s="1448"/>
      <c r="X945" s="1448"/>
      <c r="Y945" s="1448"/>
      <c r="Z945" s="1449"/>
      <c r="AA945" s="1453"/>
      <c r="AB945" s="1454"/>
      <c r="AC945" s="1454"/>
      <c r="AD945" s="1454"/>
      <c r="AE945" s="1454"/>
      <c r="AF945" s="1455"/>
      <c r="AZ945" s="34"/>
      <c r="BA945" s="34"/>
      <c r="BB945" s="34"/>
      <c r="BC945" s="34"/>
    </row>
    <row r="946" spans="1:55" ht="12.95" customHeight="1">
      <c r="F946" s="1612" t="s">
        <v>2191</v>
      </c>
      <c r="G946" s="1613"/>
      <c r="H946" s="1614"/>
      <c r="I946" s="1604" t="s">
        <v>333</v>
      </c>
      <c r="J946" s="1605"/>
      <c r="K946" s="1605"/>
      <c r="L946" s="1605"/>
      <c r="M946" s="1605"/>
      <c r="N946" s="1605"/>
      <c r="O946" s="1605"/>
      <c r="P946" s="1605"/>
      <c r="Q946" s="1605"/>
      <c r="R946" s="1605"/>
      <c r="S946" s="1605"/>
      <c r="T946" s="1606"/>
      <c r="U946" s="1447" t="s">
        <v>591</v>
      </c>
      <c r="V946" s="1448"/>
      <c r="W946" s="1448"/>
      <c r="X946" s="1448"/>
      <c r="Y946" s="1448"/>
      <c r="Z946" s="1449"/>
      <c r="AA946" s="1453"/>
      <c r="AB946" s="1454"/>
      <c r="AC946" s="1454"/>
      <c r="AD946" s="1454"/>
      <c r="AE946" s="1454"/>
      <c r="AF946" s="1455"/>
      <c r="AZ946" s="34"/>
      <c r="BA946" s="34"/>
      <c r="BB946" s="34"/>
      <c r="BC946" s="34"/>
    </row>
    <row r="947" spans="1:55" ht="12.95" customHeight="1">
      <c r="F947" s="45" t="s">
        <v>86</v>
      </c>
      <c r="G947" s="48"/>
      <c r="H947" s="48"/>
      <c r="I947" s="1604" t="s">
        <v>333</v>
      </c>
      <c r="J947" s="1605"/>
      <c r="K947" s="1605"/>
      <c r="L947" s="1605"/>
      <c r="M947" s="1605"/>
      <c r="N947" s="1605"/>
      <c r="O947" s="1605"/>
      <c r="P947" s="1605"/>
      <c r="Q947" s="1605"/>
      <c r="R947" s="1605"/>
      <c r="S947" s="1605"/>
      <c r="T947" s="1606"/>
      <c r="U947" s="1447" t="s">
        <v>591</v>
      </c>
      <c r="V947" s="1448"/>
      <c r="W947" s="1448"/>
      <c r="X947" s="1448"/>
      <c r="Y947" s="1448"/>
      <c r="Z947" s="1449"/>
      <c r="AA947" s="1453"/>
      <c r="AB947" s="1454"/>
      <c r="AC947" s="1454"/>
      <c r="AD947" s="1454"/>
      <c r="AE947" s="1454"/>
      <c r="AF947" s="1455"/>
      <c r="AZ947" s="34"/>
      <c r="BA947" s="34"/>
      <c r="BB947" s="34"/>
      <c r="BC947" s="34"/>
    </row>
    <row r="948" spans="1:55" ht="12.95" customHeight="1">
      <c r="F948" s="45" t="s">
        <v>10</v>
      </c>
      <c r="G948" s="48"/>
      <c r="H948" s="48"/>
      <c r="I948" s="1572" t="s">
        <v>333</v>
      </c>
      <c r="J948" s="1573"/>
      <c r="K948" s="1573"/>
      <c r="L948" s="1573"/>
      <c r="M948" s="1573"/>
      <c r="N948" s="1573"/>
      <c r="O948" s="1573"/>
      <c r="P948" s="1573"/>
      <c r="Q948" s="1573"/>
      <c r="R948" s="1573"/>
      <c r="S948" s="1573"/>
      <c r="T948" s="1574"/>
      <c r="U948" s="1447" t="s">
        <v>591</v>
      </c>
      <c r="V948" s="1448"/>
      <c r="W948" s="1448"/>
      <c r="X948" s="1448"/>
      <c r="Y948" s="1448"/>
      <c r="Z948" s="1449"/>
      <c r="AA948" s="1453"/>
      <c r="AB948" s="1454"/>
      <c r="AC948" s="1454"/>
      <c r="AD948" s="1454"/>
      <c r="AE948" s="1454"/>
      <c r="AF948" s="1455"/>
      <c r="AV948" s="2"/>
      <c r="AW948" s="2"/>
      <c r="AX948" s="2"/>
      <c r="AY948" s="2"/>
      <c r="AZ948" s="34"/>
      <c r="BA948" s="34"/>
      <c r="BB948" s="34"/>
      <c r="BC948" s="34"/>
    </row>
    <row r="949" spans="1:55" ht="12.95" customHeight="1">
      <c r="F949" s="47" t="s">
        <v>169</v>
      </c>
      <c r="G949" s="48"/>
      <c r="H949" s="48"/>
      <c r="I949" s="1572" t="s">
        <v>333</v>
      </c>
      <c r="J949" s="1573"/>
      <c r="K949" s="1573"/>
      <c r="L949" s="1573"/>
      <c r="M949" s="1573"/>
      <c r="N949" s="1573"/>
      <c r="O949" s="1573"/>
      <c r="P949" s="1573"/>
      <c r="Q949" s="1573"/>
      <c r="R949" s="1573"/>
      <c r="S949" s="1573"/>
      <c r="T949" s="1574"/>
      <c r="U949" s="1447" t="s">
        <v>591</v>
      </c>
      <c r="V949" s="1448"/>
      <c r="W949" s="1448"/>
      <c r="X949" s="1448"/>
      <c r="Y949" s="1448"/>
      <c r="Z949" s="1449"/>
      <c r="AA949" s="1453"/>
      <c r="AB949" s="1454"/>
      <c r="AC949" s="1454"/>
      <c r="AD949" s="1454"/>
      <c r="AE949" s="1454"/>
      <c r="AF949" s="1455"/>
      <c r="AU949" s="2"/>
      <c r="AZ949" s="34"/>
      <c r="BA949" s="34"/>
      <c r="BB949" s="34"/>
      <c r="BC949" s="34"/>
    </row>
    <row r="950" spans="1:55" ht="12.95" customHeight="1">
      <c r="F950" s="47" t="s">
        <v>169</v>
      </c>
      <c r="G950" s="48"/>
      <c r="H950" s="48"/>
      <c r="I950" s="1572" t="s">
        <v>333</v>
      </c>
      <c r="J950" s="1573"/>
      <c r="K950" s="1573"/>
      <c r="L950" s="1573"/>
      <c r="M950" s="1573"/>
      <c r="N950" s="1573"/>
      <c r="O950" s="1573"/>
      <c r="P950" s="1573"/>
      <c r="Q950" s="1573"/>
      <c r="R950" s="1573"/>
      <c r="S950" s="1573"/>
      <c r="T950" s="1574"/>
      <c r="U950" s="1447" t="s">
        <v>591</v>
      </c>
      <c r="V950" s="1448"/>
      <c r="W950" s="1448"/>
      <c r="X950" s="1448"/>
      <c r="Y950" s="1448"/>
      <c r="Z950" s="1449"/>
      <c r="AA950" s="1453"/>
      <c r="AB950" s="1454"/>
      <c r="AC950" s="1454"/>
      <c r="AD950" s="1454"/>
      <c r="AE950" s="1454"/>
      <c r="AF950" s="1455"/>
      <c r="AU950" s="2"/>
      <c r="AZ950" s="34"/>
      <c r="BA950" s="34"/>
      <c r="BB950" s="34"/>
      <c r="BC950" s="34"/>
    </row>
    <row r="951" spans="1:55" ht="12.95" customHeight="1">
      <c r="AU951" s="2"/>
      <c r="AZ951" s="34"/>
      <c r="BA951" s="34"/>
      <c r="BB951" s="34"/>
      <c r="BC951" s="34"/>
    </row>
    <row r="952" spans="1:55" ht="12.95" customHeight="1">
      <c r="A952" s="2" t="s">
        <v>576</v>
      </c>
      <c r="C952" s="2" t="s">
        <v>751</v>
      </c>
      <c r="AZ952" s="34"/>
      <c r="BA952" s="34"/>
      <c r="BB952" s="34"/>
      <c r="BC952" s="34"/>
    </row>
    <row r="953" spans="1:55" ht="12.95" customHeight="1">
      <c r="B953" s="2"/>
      <c r="C953" s="22" t="s">
        <v>391</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2.95" customHeight="1">
      <c r="AZ954" s="34"/>
      <c r="BA954" s="34"/>
      <c r="BB954" s="34"/>
      <c r="BC954" s="34"/>
    </row>
    <row r="955" spans="1:55" ht="12.95" customHeight="1">
      <c r="C955" s="66" t="s">
        <v>11</v>
      </c>
      <c r="D955" s="5"/>
      <c r="E955" s="5"/>
      <c r="F955" s="5"/>
      <c r="G955" s="5"/>
      <c r="H955" s="5"/>
      <c r="I955" s="5"/>
      <c r="J955" s="5"/>
      <c r="K955" s="5"/>
      <c r="L955" s="46"/>
      <c r="M955" s="1569"/>
      <c r="N955" s="1570"/>
      <c r="O955" s="1570"/>
      <c r="P955" s="1570"/>
      <c r="Q955" s="1570"/>
      <c r="R955" s="1570"/>
      <c r="S955" s="1571"/>
      <c r="U955" s="66" t="s">
        <v>11</v>
      </c>
      <c r="V955" s="5"/>
      <c r="W955" s="5"/>
      <c r="X955" s="5"/>
      <c r="Y955" s="5"/>
      <c r="Z955" s="5"/>
      <c r="AA955" s="5"/>
      <c r="AB955" s="5"/>
      <c r="AC955" s="5"/>
      <c r="AD955" s="46"/>
      <c r="AE955" s="1569"/>
      <c r="AF955" s="1570"/>
      <c r="AG955" s="1570"/>
      <c r="AH955" s="1570"/>
      <c r="AI955" s="1570"/>
      <c r="AJ955" s="1570"/>
      <c r="AK955" s="1571"/>
      <c r="AZ955" s="34"/>
      <c r="BA955" s="34"/>
      <c r="BB955" s="34"/>
      <c r="BC955" s="34"/>
    </row>
    <row r="956" spans="1:55" ht="12.95" customHeight="1">
      <c r="C956" s="66" t="s">
        <v>12</v>
      </c>
      <c r="D956" s="5"/>
      <c r="E956" s="5"/>
      <c r="F956" s="5"/>
      <c r="G956" s="5"/>
      <c r="H956" s="5"/>
      <c r="I956" s="5"/>
      <c r="J956" s="5"/>
      <c r="K956" s="5"/>
      <c r="L956" s="46"/>
      <c r="M956" s="1581"/>
      <c r="N956" s="1582"/>
      <c r="O956" s="1582"/>
      <c r="P956" s="1582"/>
      <c r="Q956" s="1582"/>
      <c r="R956" s="1582"/>
      <c r="S956" s="1583"/>
      <c r="U956" s="66" t="s">
        <v>12</v>
      </c>
      <c r="V956" s="5"/>
      <c r="W956" s="5"/>
      <c r="X956" s="5"/>
      <c r="Y956" s="5"/>
      <c r="Z956" s="5"/>
      <c r="AA956" s="5"/>
      <c r="AB956" s="5"/>
      <c r="AC956" s="5"/>
      <c r="AD956" s="46"/>
      <c r="AE956" s="1581"/>
      <c r="AF956" s="1582"/>
      <c r="AG956" s="1582"/>
      <c r="AH956" s="1582"/>
      <c r="AI956" s="1582"/>
      <c r="AJ956" s="1582"/>
      <c r="AK956" s="1583"/>
      <c r="AZ956" s="34"/>
      <c r="BA956" s="34"/>
      <c r="BB956" s="34"/>
      <c r="BC956" s="34"/>
    </row>
    <row r="957" spans="1:55" ht="12.95" customHeight="1">
      <c r="C957" s="66" t="s">
        <v>880</v>
      </c>
      <c r="D957" s="5"/>
      <c r="E957" s="5"/>
      <c r="J957" s="1337" t="s">
        <v>306</v>
      </c>
      <c r="K957" s="1338"/>
      <c r="L957" s="1338"/>
      <c r="M957" s="1338"/>
      <c r="N957" s="1338"/>
      <c r="O957" s="1338"/>
      <c r="P957" s="1338"/>
      <c r="Q957" s="1338"/>
      <c r="R957" s="1338"/>
      <c r="S957" s="1339"/>
      <c r="U957" s="66" t="s">
        <v>880</v>
      </c>
      <c r="V957" s="5"/>
      <c r="W957" s="5"/>
      <c r="AB957" s="1337" t="s">
        <v>306</v>
      </c>
      <c r="AC957" s="1338"/>
      <c r="AD957" s="1338"/>
      <c r="AE957" s="1338"/>
      <c r="AF957" s="1338"/>
      <c r="AG957" s="1338"/>
      <c r="AH957" s="1338"/>
      <c r="AI957" s="1338"/>
      <c r="AJ957" s="1338"/>
      <c r="AK957" s="1339"/>
      <c r="AZ957" s="34"/>
      <c r="BA957" s="34"/>
      <c r="BB957" s="34"/>
      <c r="BC957" s="34"/>
    </row>
    <row r="958" spans="1:55" ht="12.95" customHeight="1">
      <c r="C958" s="66" t="s">
        <v>13</v>
      </c>
      <c r="D958" s="5"/>
      <c r="E958" s="5"/>
      <c r="F958" s="5"/>
      <c r="G958" s="5"/>
      <c r="H958" s="5"/>
      <c r="I958" s="5"/>
      <c r="J958" s="5"/>
      <c r="K958" s="5"/>
      <c r="L958" s="46"/>
      <c r="M958" s="1632"/>
      <c r="N958" s="1608"/>
      <c r="O958" s="1608"/>
      <c r="P958" s="1608"/>
      <c r="Q958" s="1608"/>
      <c r="R958" s="1608"/>
      <c r="S958" s="1609"/>
      <c r="U958" s="66" t="s">
        <v>13</v>
      </c>
      <c r="V958" s="5"/>
      <c r="W958" s="5"/>
      <c r="X958" s="5"/>
      <c r="Y958" s="5"/>
      <c r="Z958" s="5"/>
      <c r="AA958" s="5"/>
      <c r="AB958" s="5"/>
      <c r="AC958" s="5"/>
      <c r="AD958" s="46"/>
      <c r="AE958" s="1607"/>
      <c r="AF958" s="1608"/>
      <c r="AG958" s="1608"/>
      <c r="AH958" s="1608"/>
      <c r="AI958" s="1608"/>
      <c r="AJ958" s="1608"/>
      <c r="AK958" s="1609"/>
      <c r="AZ958" s="34"/>
      <c r="BA958" s="34"/>
      <c r="BB958" s="34"/>
      <c r="BC958" s="34"/>
    </row>
    <row r="959" spans="1:55" ht="12.95" customHeight="1">
      <c r="C959" s="66" t="s">
        <v>14</v>
      </c>
      <c r="D959" s="5"/>
      <c r="E959" s="5"/>
      <c r="F959" s="5"/>
      <c r="G959" s="5"/>
      <c r="H959" s="5"/>
      <c r="I959" s="5"/>
      <c r="J959" s="5"/>
      <c r="K959" s="5"/>
      <c r="L959" s="46"/>
      <c r="M959" s="1350"/>
      <c r="N959" s="1351"/>
      <c r="O959" s="1351"/>
      <c r="P959" s="1351"/>
      <c r="Q959" s="1351"/>
      <c r="R959" s="1351"/>
      <c r="S959" s="1352"/>
      <c r="U959" s="66" t="s">
        <v>14</v>
      </c>
      <c r="V959" s="5"/>
      <c r="W959" s="5"/>
      <c r="X959" s="5"/>
      <c r="Y959" s="5"/>
      <c r="Z959" s="5"/>
      <c r="AA959" s="5"/>
      <c r="AB959" s="5"/>
      <c r="AC959" s="5"/>
      <c r="AD959" s="46"/>
      <c r="AE959" s="1350"/>
      <c r="AF959" s="1351"/>
      <c r="AG959" s="1351"/>
      <c r="AH959" s="1351"/>
      <c r="AI959" s="1351"/>
      <c r="AJ959" s="1351"/>
      <c r="AK959" s="1352"/>
      <c r="AV959" s="2"/>
      <c r="AW959" s="2"/>
      <c r="AX959" s="2"/>
      <c r="AY959" s="2"/>
      <c r="AZ959" s="34"/>
      <c r="BA959" s="34"/>
      <c r="BB959" s="34"/>
      <c r="BC959" s="34"/>
    </row>
    <row r="960" spans="1:55" ht="12.95" customHeight="1">
      <c r="C960" s="66" t="s">
        <v>15</v>
      </c>
      <c r="D960" s="5"/>
      <c r="E960" s="5"/>
      <c r="F960" s="5"/>
      <c r="G960" s="5"/>
      <c r="H960" s="5"/>
      <c r="I960" s="5"/>
      <c r="J960" s="5"/>
      <c r="K960" s="5"/>
      <c r="L960" s="46"/>
      <c r="M960" s="1453"/>
      <c r="N960" s="1454"/>
      <c r="O960" s="1454"/>
      <c r="P960" s="1454"/>
      <c r="Q960" s="1454"/>
      <c r="R960" s="1454"/>
      <c r="S960" s="1455"/>
      <c r="U960" s="66" t="s">
        <v>15</v>
      </c>
      <c r="V960" s="5"/>
      <c r="W960" s="5"/>
      <c r="X960" s="5"/>
      <c r="Y960" s="5"/>
      <c r="Z960" s="5"/>
      <c r="AA960" s="5"/>
      <c r="AB960" s="5"/>
      <c r="AC960" s="5"/>
      <c r="AD960" s="46"/>
      <c r="AE960" s="1453"/>
      <c r="AF960" s="1454"/>
      <c r="AG960" s="1454"/>
      <c r="AH960" s="1454"/>
      <c r="AI960" s="1454"/>
      <c r="AJ960" s="1454"/>
      <c r="AK960" s="1455"/>
      <c r="AV960" s="2"/>
      <c r="AW960" s="2"/>
      <c r="AX960" s="2"/>
      <c r="AY960" s="2"/>
      <c r="AZ960" s="34"/>
      <c r="BA960" s="34"/>
      <c r="BB960" s="34"/>
      <c r="BC960" s="34"/>
    </row>
    <row r="961" spans="1:64" ht="12.95" customHeight="1">
      <c r="C961" s="66" t="s">
        <v>16</v>
      </c>
      <c r="D961" s="5"/>
      <c r="E961" s="5"/>
      <c r="F961" s="5"/>
      <c r="G961" s="5"/>
      <c r="H961" s="5"/>
      <c r="I961" s="5"/>
      <c r="J961" s="5"/>
      <c r="K961" s="5"/>
      <c r="L961" s="46"/>
      <c r="M961" s="1453"/>
      <c r="N961" s="1454"/>
      <c r="O961" s="1454"/>
      <c r="P961" s="1454"/>
      <c r="Q961" s="1454"/>
      <c r="R961" s="1454"/>
      <c r="S961" s="1455"/>
      <c r="U961" s="66" t="s">
        <v>16</v>
      </c>
      <c r="V961" s="5"/>
      <c r="W961" s="5"/>
      <c r="X961" s="5"/>
      <c r="Y961" s="5"/>
      <c r="Z961" s="5"/>
      <c r="AA961" s="5"/>
      <c r="AB961" s="5"/>
      <c r="AC961" s="5"/>
      <c r="AD961" s="46"/>
      <c r="AE961" s="1453"/>
      <c r="AF961" s="1454"/>
      <c r="AG961" s="1454"/>
      <c r="AH961" s="1454"/>
      <c r="AI961" s="1454"/>
      <c r="AJ961" s="1454"/>
      <c r="AK961" s="1455"/>
      <c r="AV961" s="2"/>
      <c r="AW961" s="2"/>
      <c r="AX961" s="2"/>
      <c r="AY961" s="2"/>
      <c r="AZ961" s="34"/>
      <c r="BB961" s="34"/>
      <c r="BC961" s="34"/>
    </row>
    <row r="962" spans="1:64" ht="12.95" customHeight="1">
      <c r="C962" s="121" t="s">
        <v>1660</v>
      </c>
      <c r="D962" s="5"/>
      <c r="E962" s="5"/>
      <c r="F962" s="5"/>
      <c r="G962" s="5"/>
      <c r="H962" s="5"/>
      <c r="I962" s="5"/>
      <c r="J962" s="5"/>
      <c r="K962" s="5"/>
      <c r="L962" s="46"/>
      <c r="M962" s="1450"/>
      <c r="N962" s="1451"/>
      <c r="O962" s="1451"/>
      <c r="P962" s="1451"/>
      <c r="Q962" s="1451"/>
      <c r="R962" s="1451"/>
      <c r="S962" s="1452"/>
      <c r="U962" s="121" t="s">
        <v>1660</v>
      </c>
      <c r="V962" s="5"/>
      <c r="W962" s="5"/>
      <c r="X962" s="5"/>
      <c r="Y962" s="5"/>
      <c r="Z962" s="5"/>
      <c r="AA962" s="5"/>
      <c r="AB962" s="5"/>
      <c r="AC962" s="5"/>
      <c r="AD962" s="46"/>
      <c r="AE962" s="1450"/>
      <c r="AF962" s="1451"/>
      <c r="AG962" s="1451"/>
      <c r="AH962" s="1451"/>
      <c r="AI962" s="1451"/>
      <c r="AJ962" s="1451"/>
      <c r="AK962" s="1452"/>
      <c r="AZ962" s="34"/>
      <c r="BB962" s="34"/>
      <c r="BC962" s="34"/>
      <c r="BD962" s="34"/>
      <c r="BE962" s="34"/>
      <c r="BF962" s="34"/>
      <c r="BG962" s="34"/>
      <c r="BH962" s="34"/>
      <c r="BI962" s="34"/>
      <c r="BJ962" s="34"/>
      <c r="BK962" s="34"/>
      <c r="BL962" s="34"/>
    </row>
    <row r="963" spans="1:64" ht="12.95" customHeight="1">
      <c r="AZ963" s="34"/>
      <c r="BB963" s="34"/>
      <c r="BC963" s="34"/>
      <c r="BD963" s="34"/>
      <c r="BE963" s="34"/>
      <c r="BF963" s="34"/>
      <c r="BG963" s="34"/>
      <c r="BH963" s="34"/>
      <c r="BI963" s="34"/>
      <c r="BJ963" s="34"/>
      <c r="BK963" s="34"/>
      <c r="BL963" s="34"/>
    </row>
    <row r="964" spans="1:64" ht="12.95" customHeight="1">
      <c r="A964" s="2" t="s">
        <v>586</v>
      </c>
      <c r="C964" s="2" t="s">
        <v>650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2.95" customHeight="1">
      <c r="A965"/>
      <c r="B965" s="2"/>
      <c r="C965" s="22" t="s">
        <v>179</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2.95"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2.95" customHeight="1">
      <c r="A967"/>
      <c r="B967"/>
      <c r="C967"/>
      <c r="D967"/>
      <c r="E967"/>
      <c r="F967" s="45" t="s">
        <v>571</v>
      </c>
      <c r="G967" s="5"/>
      <c r="H967" s="5"/>
      <c r="I967" s="5"/>
      <c r="J967" s="5"/>
      <c r="K967" s="5"/>
      <c r="L967" s="46"/>
      <c r="M967" s="1340"/>
      <c r="N967" s="1341"/>
      <c r="O967" s="1341"/>
      <c r="P967" s="1341"/>
      <c r="Q967" s="1341"/>
      <c r="R967" s="1341"/>
      <c r="S967" s="1342"/>
      <c r="T967" s="66" t="s">
        <v>790</v>
      </c>
      <c r="U967" s="5"/>
      <c r="V967" s="5"/>
      <c r="W967" s="5"/>
      <c r="X967" s="5"/>
      <c r="Y967" s="5"/>
      <c r="Z967" s="46"/>
      <c r="AA967" s="1340"/>
      <c r="AB967" s="1341"/>
      <c r="AC967" s="1341"/>
      <c r="AD967" s="1341"/>
      <c r="AE967" s="1341"/>
      <c r="AF967" s="1341"/>
      <c r="AG967" s="1342"/>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2.95" customHeight="1">
      <c r="A968"/>
      <c r="B968"/>
      <c r="C968"/>
      <c r="D968"/>
      <c r="E968"/>
      <c r="F968" s="45" t="s">
        <v>572</v>
      </c>
      <c r="G968" s="5"/>
      <c r="H968" s="5"/>
      <c r="I968" s="5"/>
      <c r="J968" s="5"/>
      <c r="K968" s="5"/>
      <c r="L968" s="46"/>
      <c r="M968" s="1340"/>
      <c r="N968" s="1341"/>
      <c r="O968" s="1341"/>
      <c r="P968" s="1341"/>
      <c r="Q968" s="1341"/>
      <c r="R968" s="1341"/>
      <c r="S968" s="1342"/>
      <c r="T968" s="66" t="s">
        <v>789</v>
      </c>
      <c r="U968" s="5"/>
      <c r="V968" s="5"/>
      <c r="W968" s="5"/>
      <c r="X968" s="5"/>
      <c r="Y968" s="5"/>
      <c r="Z968" s="46"/>
      <c r="AA968" s="1340"/>
      <c r="AB968" s="1341"/>
      <c r="AC968" s="1341"/>
      <c r="AD968" s="1341"/>
      <c r="AE968" s="1341"/>
      <c r="AF968" s="1341"/>
      <c r="AG968" s="1342"/>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2.95" customHeight="1">
      <c r="A969"/>
      <c r="B969"/>
      <c r="C969"/>
      <c r="D969"/>
      <c r="E969"/>
      <c r="F969" s="45" t="s">
        <v>901</v>
      </c>
      <c r="G969" s="5"/>
      <c r="H969" s="5"/>
      <c r="I969" s="5"/>
      <c r="J969" s="5"/>
      <c r="K969" s="5"/>
      <c r="L969" s="46"/>
      <c r="M969" s="1634" t="s">
        <v>591</v>
      </c>
      <c r="N969" s="1635"/>
      <c r="O969" s="1635"/>
      <c r="P969" s="1635"/>
      <c r="Q969" s="1635"/>
      <c r="R969" s="1635"/>
      <c r="S969" s="1636"/>
      <c r="T969" s="45" t="s">
        <v>336</v>
      </c>
      <c r="U969" s="5"/>
      <c r="V969" s="5"/>
      <c r="W969" s="5"/>
      <c r="X969" s="5"/>
      <c r="Y969" s="5"/>
      <c r="Z969" s="46"/>
      <c r="AA969" s="1340"/>
      <c r="AB969" s="1341"/>
      <c r="AC969" s="1341"/>
      <c r="AD969" s="1341"/>
      <c r="AE969" s="1341"/>
      <c r="AF969" s="1341"/>
      <c r="AG969" s="1342"/>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2.95" customHeight="1">
      <c r="A970"/>
      <c r="B970"/>
      <c r="C970"/>
      <c r="D970"/>
      <c r="E970"/>
      <c r="F970" s="45" t="s">
        <v>573</v>
      </c>
      <c r="G970" s="5"/>
      <c r="H970" s="5"/>
      <c r="I970" s="5"/>
      <c r="J970" s="5"/>
      <c r="K970" s="5"/>
      <c r="L970" s="46"/>
      <c r="M970" s="1340"/>
      <c r="N970" s="1341"/>
      <c r="O970" s="1341"/>
      <c r="P970" s="1341"/>
      <c r="Q970" s="1341"/>
      <c r="R970" s="1341"/>
      <c r="S970" s="1342"/>
      <c r="T970" s="45" t="s">
        <v>337</v>
      </c>
      <c r="U970" s="5"/>
      <c r="V970" s="5"/>
      <c r="W970" s="5"/>
      <c r="X970" s="5"/>
      <c r="Y970" s="5"/>
      <c r="Z970" s="46"/>
      <c r="AA970" s="1340"/>
      <c r="AB970" s="1341"/>
      <c r="AC970" s="1341"/>
      <c r="AD970" s="1341"/>
      <c r="AE970" s="1341"/>
      <c r="AF970" s="1341"/>
      <c r="AG970" s="1342"/>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2.95" customHeight="1">
      <c r="A971"/>
      <c r="B971"/>
      <c r="C971"/>
      <c r="D971"/>
      <c r="E971"/>
      <c r="F971" s="45" t="s">
        <v>464</v>
      </c>
      <c r="G971" s="5"/>
      <c r="H971" s="5"/>
      <c r="I971" s="5"/>
      <c r="J971" s="5"/>
      <c r="K971" s="5"/>
      <c r="L971" s="46"/>
      <c r="M971" s="1340"/>
      <c r="N971" s="1341"/>
      <c r="O971" s="1341"/>
      <c r="P971" s="1341"/>
      <c r="Q971" s="1341"/>
      <c r="R971" s="1341"/>
      <c r="S971" s="1342"/>
      <c r="T971" s="45" t="s">
        <v>375</v>
      </c>
      <c r="U971" s="5"/>
      <c r="V971" s="5"/>
      <c r="W971" s="5"/>
      <c r="X971" s="5"/>
      <c r="Y971" s="5"/>
      <c r="Z971" s="46"/>
      <c r="AA971" s="1340"/>
      <c r="AB971" s="1341"/>
      <c r="AC971" s="1341"/>
      <c r="AD971" s="1341"/>
      <c r="AE971" s="1341"/>
      <c r="AF971" s="1341"/>
      <c r="AG971" s="1342"/>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2.95" customHeight="1">
      <c r="A972"/>
      <c r="B972"/>
      <c r="C972"/>
      <c r="D972"/>
      <c r="E972"/>
      <c r="F972" s="242" t="s">
        <v>880</v>
      </c>
      <c r="G972" s="42"/>
      <c r="H972" s="42"/>
      <c r="I972" s="42"/>
      <c r="J972" s="42"/>
      <c r="K972" s="42"/>
      <c r="L972" s="58"/>
      <c r="M972" s="1337" t="s">
        <v>306</v>
      </c>
      <c r="N972" s="1338"/>
      <c r="O972" s="1338"/>
      <c r="P972" s="1338"/>
      <c r="Q972" s="1338"/>
      <c r="R972" s="1338"/>
      <c r="S972" s="1339"/>
      <c r="T972" s="1344"/>
      <c r="U972" s="1345"/>
      <c r="V972" s="1345"/>
      <c r="W972" s="1345"/>
      <c r="X972" s="1345"/>
      <c r="Y972" s="1345"/>
      <c r="Z972" s="1346"/>
      <c r="AA972" s="1340"/>
      <c r="AB972" s="1341"/>
      <c r="AC972" s="1341"/>
      <c r="AD972" s="1341"/>
      <c r="AE972" s="1341"/>
      <c r="AF972" s="1341"/>
      <c r="AG972" s="1342"/>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2.95" customHeight="1">
      <c r="A973"/>
      <c r="B973"/>
      <c r="C973"/>
      <c r="D973"/>
      <c r="E973"/>
      <c r="F973" s="41" t="s">
        <v>465</v>
      </c>
      <c r="G973" s="42"/>
      <c r="H973" s="42"/>
      <c r="I973" s="42"/>
      <c r="J973" s="42"/>
      <c r="K973" s="42"/>
      <c r="L973" s="58"/>
      <c r="M973" s="1340"/>
      <c r="N973" s="1341"/>
      <c r="O973" s="1341"/>
      <c r="P973" s="1341"/>
      <c r="Q973" s="1341"/>
      <c r="R973" s="1341"/>
      <c r="S973" s="1342"/>
      <c r="T973" s="1344"/>
      <c r="U973" s="1345"/>
      <c r="V973" s="1345"/>
      <c r="W973" s="1345"/>
      <c r="X973" s="1345"/>
      <c r="Y973" s="1345"/>
      <c r="Z973" s="1346"/>
      <c r="AA973" s="1340"/>
      <c r="AB973" s="1341"/>
      <c r="AC973" s="1341"/>
      <c r="AD973" s="1341"/>
      <c r="AE973" s="1341"/>
      <c r="AF973" s="1341"/>
      <c r="AG973" s="1342"/>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2.95" customHeight="1">
      <c r="F974" s="41" t="s">
        <v>335</v>
      </c>
      <c r="G974" s="42"/>
      <c r="H974" s="42"/>
      <c r="I974" s="42"/>
      <c r="J974" s="42"/>
      <c r="K974" s="42"/>
      <c r="L974" s="42"/>
      <c r="M974" s="42"/>
      <c r="N974" s="42"/>
      <c r="O974" s="1588" t="s">
        <v>669</v>
      </c>
      <c r="P974" s="1589"/>
      <c r="Q974" s="92"/>
      <c r="R974" s="92"/>
      <c r="S974" s="93"/>
      <c r="T974" s="41" t="s">
        <v>169</v>
      </c>
      <c r="U974" s="42"/>
      <c r="V974" s="42"/>
      <c r="W974" s="1353" t="s">
        <v>333</v>
      </c>
      <c r="X974" s="1354"/>
      <c r="Y974" s="1354"/>
      <c r="Z974" s="1354"/>
      <c r="AA974" s="1354"/>
      <c r="AB974" s="1354"/>
      <c r="AC974" s="1354"/>
      <c r="AD974" s="1354"/>
      <c r="AE974" s="1354"/>
      <c r="AF974" s="1354"/>
      <c r="AG974" s="1355"/>
      <c r="AU974" s="68"/>
      <c r="AV974" s="95"/>
      <c r="AW974" s="95"/>
      <c r="AX974" s="95"/>
      <c r="AY974" s="95"/>
      <c r="AZ974" s="34"/>
      <c r="BB974" s="34"/>
      <c r="BC974" s="34"/>
      <c r="BD974" s="34"/>
      <c r="BE974" s="34"/>
      <c r="BF974" s="34"/>
      <c r="BG974" s="34"/>
      <c r="BH974" s="34"/>
      <c r="BI974" s="34"/>
      <c r="BJ974" s="34"/>
      <c r="BK974" s="34"/>
      <c r="BL974" s="34"/>
    </row>
    <row r="975" spans="1:64" ht="12.95" customHeight="1">
      <c r="F975" s="1407" t="s">
        <v>33</v>
      </c>
      <c r="G975" s="1389"/>
      <c r="H975" s="1389"/>
      <c r="I975" s="1389"/>
      <c r="J975" s="1389"/>
      <c r="K975" s="1389"/>
      <c r="L975" s="1389"/>
      <c r="M975" s="1340"/>
      <c r="N975" s="1341"/>
      <c r="O975" s="1341"/>
      <c r="P975" s="1341"/>
      <c r="Q975" s="1341"/>
      <c r="R975" s="1341"/>
      <c r="S975" s="1342"/>
      <c r="T975" s="47"/>
      <c r="U975" s="48"/>
      <c r="V975" s="48"/>
      <c r="W975" s="48"/>
      <c r="X975" s="48"/>
      <c r="Y975" s="48"/>
      <c r="Z975" s="124" t="s">
        <v>134</v>
      </c>
      <c r="AA975" s="1552"/>
      <c r="AB975" s="1553"/>
      <c r="AC975" s="1553"/>
      <c r="AD975" s="1553"/>
      <c r="AE975" s="1553"/>
      <c r="AF975" s="1553"/>
      <c r="AG975" s="1554"/>
      <c r="AU975" s="68"/>
      <c r="AV975" s="95"/>
      <c r="AW975" s="95"/>
      <c r="AX975" s="95"/>
      <c r="AY975" s="95"/>
      <c r="AZ975" s="14"/>
      <c r="BA975" s="14"/>
      <c r="BB975" s="34"/>
      <c r="BC975" s="34"/>
      <c r="BD975" s="34"/>
      <c r="BE975" s="34"/>
      <c r="BF975" s="34"/>
      <c r="BG975" s="14"/>
      <c r="BH975" s="14"/>
      <c r="BI975" s="14"/>
      <c r="BJ975" s="14"/>
      <c r="BK975" s="14"/>
      <c r="BL975" s="14"/>
    </row>
    <row r="976" spans="1:64" ht="12.95" customHeight="1">
      <c r="AU976" s="68"/>
      <c r="AV976" s="68"/>
      <c r="AW976" s="68"/>
      <c r="AX976" s="68"/>
      <c r="AY976" s="68"/>
      <c r="AZ976" s="14"/>
      <c r="BA976" s="14"/>
      <c r="BB976" s="14"/>
      <c r="BC976" s="14"/>
      <c r="BD976" s="14"/>
      <c r="BE976" s="14"/>
      <c r="BF976" s="14"/>
      <c r="BG976" s="1623"/>
      <c r="BH976" s="1623"/>
      <c r="BI976" s="1623"/>
      <c r="BJ976" s="1623"/>
      <c r="BK976" s="1623"/>
      <c r="BL976" s="1623"/>
    </row>
    <row r="977" spans="1:64" ht="12.95" customHeight="1">
      <c r="AU977" s="68"/>
      <c r="AV977" s="68"/>
      <c r="AW977" s="68"/>
      <c r="AX977" s="68"/>
      <c r="AY977" s="68"/>
      <c r="AZ977" s="14"/>
      <c r="BA977" s="14"/>
      <c r="BB977" s="912"/>
      <c r="BC977" s="912"/>
      <c r="BD977" s="14"/>
      <c r="BE977" s="14"/>
      <c r="BF977" s="14"/>
      <c r="BG977" s="14"/>
      <c r="BH977" s="14"/>
      <c r="BI977" s="14"/>
      <c r="BJ977" s="14"/>
      <c r="BK977" s="14"/>
      <c r="BL977" s="14"/>
    </row>
    <row r="978" spans="1:64" ht="12.95" customHeight="1">
      <c r="AU978" s="68"/>
      <c r="AV978" s="68"/>
      <c r="AW978" s="68"/>
      <c r="AX978" s="68"/>
      <c r="AY978" s="68"/>
      <c r="AZ978" s="14"/>
      <c r="BA978" s="14"/>
      <c r="BB978" s="912"/>
      <c r="BC978" s="912"/>
    </row>
    <row r="979" spans="1:64" ht="12.95" customHeight="1">
      <c r="A979" s="1365" t="s">
        <v>548</v>
      </c>
      <c r="B979" s="1365"/>
      <c r="C979" s="1365"/>
      <c r="D979" s="1365"/>
      <c r="E979" s="1365"/>
      <c r="F979" s="1365"/>
      <c r="G979" s="1365"/>
      <c r="H979" s="1365"/>
      <c r="I979" s="1365"/>
      <c r="J979" s="1365"/>
      <c r="K979" s="1365"/>
      <c r="L979" s="1365"/>
      <c r="M979" s="1365"/>
      <c r="N979" s="1365"/>
      <c r="O979" s="1365"/>
      <c r="P979" s="1365"/>
      <c r="Q979" s="1365"/>
      <c r="R979" s="1365"/>
      <c r="S979" s="1365"/>
      <c r="T979" s="1365"/>
      <c r="U979" s="1365"/>
      <c r="V979" s="1365"/>
      <c r="W979" s="1365"/>
      <c r="X979" s="1365"/>
      <c r="Y979" s="1365"/>
      <c r="Z979" s="1365"/>
      <c r="AA979" s="1365"/>
      <c r="AB979" s="1365"/>
      <c r="AC979" s="1365"/>
      <c r="AD979" s="1365"/>
      <c r="AE979" s="1365"/>
      <c r="AF979" s="1365"/>
      <c r="AG979" s="1365"/>
      <c r="AH979" s="1365"/>
      <c r="AI979" s="1365"/>
      <c r="AJ979" s="1365"/>
      <c r="AK979" s="1365"/>
      <c r="AL979" s="1365"/>
      <c r="AM979" s="1365"/>
      <c r="AN979" s="1365"/>
      <c r="AO979" s="1365"/>
      <c r="AP979" s="1365"/>
      <c r="AQ979" s="1365"/>
      <c r="AR979" s="1365"/>
      <c r="AS979" s="1365"/>
      <c r="AT979" s="1365"/>
      <c r="AU979" s="68"/>
      <c r="AV979" s="68"/>
      <c r="AW979" s="68"/>
      <c r="AX979" s="68"/>
      <c r="AY979" s="68"/>
      <c r="AZ979" s="14"/>
      <c r="BA979" s="14"/>
      <c r="BB979" s="912"/>
      <c r="BC979" s="912"/>
    </row>
    <row r="980" spans="1:64" ht="12.95" customHeight="1">
      <c r="A980" s="1365"/>
      <c r="B980" s="1365"/>
      <c r="C980" s="1365"/>
      <c r="D980" s="1365"/>
      <c r="E980" s="1365"/>
      <c r="F980" s="1365"/>
      <c r="G980" s="1365"/>
      <c r="H980" s="1365"/>
      <c r="I980" s="1365"/>
      <c r="J980" s="1365"/>
      <c r="K980" s="1365"/>
      <c r="L980" s="1365"/>
      <c r="M980" s="1365"/>
      <c r="N980" s="1365"/>
      <c r="O980" s="1365"/>
      <c r="P980" s="1365"/>
      <c r="Q980" s="1365"/>
      <c r="R980" s="1365"/>
      <c r="S980" s="1365"/>
      <c r="T980" s="1365"/>
      <c r="U980" s="1365"/>
      <c r="V980" s="1365"/>
      <c r="W980" s="1365"/>
      <c r="X980" s="1365"/>
      <c r="Y980" s="1365"/>
      <c r="Z980" s="1365"/>
      <c r="AA980" s="1365"/>
      <c r="AB980" s="1365"/>
      <c r="AC980" s="1365"/>
      <c r="AD980" s="1365"/>
      <c r="AE980" s="1365"/>
      <c r="AF980" s="1365"/>
      <c r="AG980" s="1365"/>
      <c r="AH980" s="1365"/>
      <c r="AI980" s="1365"/>
      <c r="AJ980" s="1365"/>
      <c r="AK980" s="1365"/>
      <c r="AL980" s="1365"/>
      <c r="AM980" s="1365"/>
      <c r="AN980" s="1365"/>
      <c r="AO980" s="1365"/>
      <c r="AP980" s="1365"/>
      <c r="AQ980" s="1365"/>
      <c r="AR980" s="1365"/>
      <c r="AS980" s="1365"/>
      <c r="AT980" s="1365"/>
      <c r="AU980" s="68"/>
      <c r="AV980" s="68"/>
      <c r="AW980" s="68"/>
      <c r="AX980" s="68"/>
      <c r="AY980" s="68"/>
      <c r="AZ980" s="30"/>
      <c r="BA980" s="14"/>
      <c r="BB980" s="14"/>
      <c r="BC980" s="14"/>
    </row>
    <row r="981" spans="1:64" ht="12.95" customHeight="1">
      <c r="A981" s="1365"/>
      <c r="B981" s="1365"/>
      <c r="C981" s="1365"/>
      <c r="D981" s="1365"/>
      <c r="E981" s="1365"/>
      <c r="F981" s="1365"/>
      <c r="G981" s="1365"/>
      <c r="H981" s="1365"/>
      <c r="I981" s="1365"/>
      <c r="J981" s="1365"/>
      <c r="K981" s="1365"/>
      <c r="L981" s="1365"/>
      <c r="M981" s="1365"/>
      <c r="N981" s="1365"/>
      <c r="O981" s="1365"/>
      <c r="P981" s="1365"/>
      <c r="Q981" s="1365"/>
      <c r="R981" s="1365"/>
      <c r="S981" s="1365"/>
      <c r="T981" s="1365"/>
      <c r="U981" s="1365"/>
      <c r="V981" s="1365"/>
      <c r="W981" s="1365"/>
      <c r="X981" s="1365"/>
      <c r="Y981" s="1365"/>
      <c r="Z981" s="1365"/>
      <c r="AA981" s="1365"/>
      <c r="AB981" s="1365"/>
      <c r="AC981" s="1365"/>
      <c r="AD981" s="1365"/>
      <c r="AE981" s="1365"/>
      <c r="AF981" s="1365"/>
      <c r="AG981" s="1365"/>
      <c r="AH981" s="1365"/>
      <c r="AI981" s="1365"/>
      <c r="AJ981" s="1365"/>
      <c r="AK981" s="1365"/>
      <c r="AL981" s="1365"/>
      <c r="AM981" s="1365"/>
      <c r="AN981" s="1365"/>
      <c r="AO981" s="1365"/>
      <c r="AP981" s="1365"/>
      <c r="AQ981" s="1365"/>
      <c r="AR981" s="1365"/>
      <c r="AS981" s="1365"/>
      <c r="AT981" s="1365"/>
      <c r="AU981" s="68"/>
      <c r="AV981" s="68"/>
      <c r="AW981" s="68"/>
      <c r="AX981" s="68"/>
      <c r="AY981" s="68"/>
      <c r="AZ981" s="30"/>
      <c r="BA981" s="14"/>
      <c r="BB981" s="14"/>
      <c r="BC981" s="14"/>
    </row>
    <row r="982" spans="1:64" ht="12.95"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2.95" customHeight="1">
      <c r="A983" s="2" t="s">
        <v>318</v>
      </c>
      <c r="C983" s="2" t="s">
        <v>615</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2.95"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2.95" customHeight="1">
      <c r="A985" s="67"/>
      <c r="B985" s="79"/>
      <c r="C985" s="928"/>
      <c r="D985" s="1359" t="s">
        <v>638</v>
      </c>
      <c r="E985" s="1360"/>
      <c r="F985" s="1360"/>
      <c r="G985" s="1360"/>
      <c r="H985" s="1360"/>
      <c r="I985" s="1360"/>
      <c r="J985" s="1360"/>
      <c r="K985" s="1360"/>
      <c r="L985" s="1360"/>
      <c r="M985" s="1360"/>
      <c r="N985" s="1360"/>
      <c r="O985" s="1360"/>
      <c r="P985" s="1360"/>
      <c r="Q985" s="1361"/>
      <c r="R985" s="1359" t="s">
        <v>639</v>
      </c>
      <c r="S985" s="1360"/>
      <c r="T985" s="1360"/>
      <c r="U985" s="1360"/>
      <c r="V985" s="1360"/>
      <c r="W985" s="1360"/>
      <c r="X985" s="1360"/>
      <c r="Y985" s="1360"/>
      <c r="Z985" s="1360"/>
      <c r="AA985" s="1361"/>
      <c r="AB985" s="1359" t="s">
        <v>640</v>
      </c>
      <c r="AC985" s="1360"/>
      <c r="AD985" s="1360"/>
      <c r="AE985" s="1360"/>
      <c r="AF985" s="1360"/>
      <c r="AG985" s="1360"/>
      <c r="AH985" s="1360"/>
      <c r="AI985" s="1361"/>
      <c r="AJ985" s="1359" t="s">
        <v>641</v>
      </c>
      <c r="AK985" s="1360"/>
      <c r="AL985" s="1360"/>
      <c r="AM985" s="1360"/>
      <c r="AN985" s="1360"/>
      <c r="AO985" s="1360"/>
      <c r="AP985" s="1360"/>
      <c r="AQ985" s="1361"/>
      <c r="AR985" s="68"/>
      <c r="AS985" s="68"/>
      <c r="AT985" s="68"/>
      <c r="AU985" s="68"/>
      <c r="AV985" s="68"/>
      <c r="AW985" s="68"/>
      <c r="AX985" s="68"/>
      <c r="AY985" s="68"/>
      <c r="AZ985" s="30"/>
      <c r="BB985" s="14"/>
      <c r="BC985" s="14"/>
    </row>
    <row r="986" spans="1:64" ht="12.95" customHeight="1">
      <c r="A986" s="14"/>
      <c r="B986" s="73"/>
      <c r="C986" s="929"/>
      <c r="D986" s="1356" t="s">
        <v>633</v>
      </c>
      <c r="E986" s="1357"/>
      <c r="F986" s="1357"/>
      <c r="G986" s="1357"/>
      <c r="H986" s="1357"/>
      <c r="I986" s="1357"/>
      <c r="J986" s="1357"/>
      <c r="K986" s="1357"/>
      <c r="L986" s="1357"/>
      <c r="M986" s="1357"/>
      <c r="N986" s="1357"/>
      <c r="O986" s="1357"/>
      <c r="P986" s="1357"/>
      <c r="Q986" s="1358"/>
      <c r="R986" s="1333">
        <f>IF(ISNA(IF($CU$122="4%",(INDEX($CS$160:$CW$217,MATCH($DG$122,$CR$160:$CR$217,0),MATCH(D986,$CS$159:$CW$159,0))),(INDEX($CZ$160:$DD$217,MATCH($DG$122,$CY$160:$CY$217,0),MATCH(D986,$CZ$159:$DD$159,0))))),0,IF($CU$122="4%",(INDEX($CS$160:$CW$217,MATCH($DG$122,$CR$160:$CR$217,0),MATCH(D986,$CS$159:$CW$159,0))),(INDEX($CZ$160:$DD$217,MATCH($DG$122,$CY$160:$CY$217,0),MATCH(D986,$CZ$159:$DD$159,0)))))</f>
        <v>353173</v>
      </c>
      <c r="S986" s="1333"/>
      <c r="T986" s="1333"/>
      <c r="U986" s="1333"/>
      <c r="V986" s="1333"/>
      <c r="W986" s="1333"/>
      <c r="X986" s="1333"/>
      <c r="Y986" s="1333"/>
      <c r="Z986" s="1333"/>
      <c r="AA986" s="1333"/>
      <c r="AB986" s="1362">
        <f>CP802</f>
        <v>74</v>
      </c>
      <c r="AC986" s="1363"/>
      <c r="AD986" s="1363"/>
      <c r="AE986" s="1363"/>
      <c r="AF986" s="1363"/>
      <c r="AG986" s="1363"/>
      <c r="AH986" s="1363"/>
      <c r="AI986" s="1364"/>
      <c r="AJ986" s="1334">
        <f>IF(ISERROR((R986*AB986)),0,(R986*AB986))</f>
        <v>26134802</v>
      </c>
      <c r="AK986" s="1335"/>
      <c r="AL986" s="1335"/>
      <c r="AM986" s="1335"/>
      <c r="AN986" s="1335"/>
      <c r="AO986" s="1335"/>
      <c r="AP986" s="1335"/>
      <c r="AQ986" s="1336"/>
      <c r="AR986" s="68"/>
      <c r="AS986" s="68"/>
      <c r="AT986" s="68"/>
      <c r="AU986" s="68"/>
      <c r="AV986" s="68"/>
      <c r="AW986" s="68"/>
      <c r="AX986" s="68"/>
      <c r="AY986" s="68"/>
      <c r="AZ986" s="30"/>
      <c r="BB986" s="14"/>
      <c r="BC986" s="14"/>
    </row>
    <row r="987" spans="1:64" ht="12.95" customHeight="1">
      <c r="A987" s="14"/>
      <c r="B987" s="73"/>
      <c r="C987" s="83"/>
      <c r="D987" s="1356" t="s">
        <v>324</v>
      </c>
      <c r="E987" s="1357"/>
      <c r="F987" s="1357"/>
      <c r="G987" s="1357"/>
      <c r="H987" s="1357"/>
      <c r="I987" s="1357"/>
      <c r="J987" s="1357"/>
      <c r="K987" s="1357"/>
      <c r="L987" s="1357"/>
      <c r="M987" s="1357"/>
      <c r="N987" s="1357"/>
      <c r="O987" s="1357"/>
      <c r="P987" s="1357"/>
      <c r="Q987" s="1358"/>
      <c r="R987" s="1333">
        <f>IF(ISNA(IF($CU$122="4%",(INDEX($CS$160:$CW$217,MATCH($DG$122,$CR$160:$CR$217,0),MATCH(D987,$CS$159:$CW$159,0))),(INDEX($CZ$160:$DD$217,MATCH($DG$122,$CY$160:$CY$217,0),MATCH(D987,$CZ$159:$DD$159,0))))),0,IF($CU$122="4%",(INDEX($CS$160:$CW$217,MATCH($DG$122,$CR$160:$CR$217,0),MATCH(D987,$CS$159:$CW$159,0))),(INDEX($CZ$160:$DD$217,MATCH($DG$122,$CY$160:$CY$217,0),MATCH(D987,$CZ$159:$DD$159,0)))))</f>
        <v>407205</v>
      </c>
      <c r="S987" s="1333"/>
      <c r="T987" s="1333"/>
      <c r="U987" s="1333"/>
      <c r="V987" s="1333"/>
      <c r="W987" s="1333"/>
      <c r="X987" s="1333"/>
      <c r="Y987" s="1333"/>
      <c r="Z987" s="1333"/>
      <c r="AA987" s="1333"/>
      <c r="AB987" s="1362">
        <f>CU802</f>
        <v>160</v>
      </c>
      <c r="AC987" s="1363"/>
      <c r="AD987" s="1363"/>
      <c r="AE987" s="1363"/>
      <c r="AF987" s="1363"/>
      <c r="AG987" s="1363"/>
      <c r="AH987" s="1363"/>
      <c r="AI987" s="1364"/>
      <c r="AJ987" s="1334">
        <f>IF(ISERROR((R987*AB987)),0,(R987*AB987))</f>
        <v>65152800</v>
      </c>
      <c r="AK987" s="1335"/>
      <c r="AL987" s="1335"/>
      <c r="AM987" s="1335"/>
      <c r="AN987" s="1335"/>
      <c r="AO987" s="1335"/>
      <c r="AP987" s="1335"/>
      <c r="AQ987" s="1336"/>
      <c r="AR987" s="68"/>
      <c r="AS987" s="68"/>
      <c r="AT987" s="68"/>
      <c r="AU987" s="68"/>
      <c r="AV987" s="68"/>
      <c r="AW987" s="68"/>
      <c r="AX987" s="68"/>
      <c r="AY987" s="68"/>
      <c r="AZ987" s="30"/>
      <c r="BB987" s="14"/>
      <c r="BC987" s="14"/>
    </row>
    <row r="988" spans="1:64" ht="12.95" customHeight="1">
      <c r="A988" s="14"/>
      <c r="B988" s="73"/>
      <c r="C988" s="83"/>
      <c r="D988" s="1356" t="s">
        <v>163</v>
      </c>
      <c r="E988" s="1357"/>
      <c r="F988" s="1357"/>
      <c r="G988" s="1357"/>
      <c r="H988" s="1357"/>
      <c r="I988" s="1357"/>
      <c r="J988" s="1357"/>
      <c r="K988" s="1357"/>
      <c r="L988" s="1357"/>
      <c r="M988" s="1357"/>
      <c r="N988" s="1357"/>
      <c r="O988" s="1357"/>
      <c r="P988" s="1357"/>
      <c r="Q988" s="1358"/>
      <c r="R988" s="1333">
        <f>IF(ISNA(IF($CU$122="4%",(INDEX($CS$160:$CW$217,MATCH($DG$122,$CR$160:$CR$217,0),MATCH(D988,$CS$159:$CW$159,0))),(INDEX($CZ$160:$DD$217,MATCH($DG$122,$CY$160:$CY$217,0),MATCH(D988,$CZ$159:$DD$159,0))))),0,IF($CU$122="4%",(INDEX($CS$160:$CW$217,MATCH($DG$122,$CR$160:$CR$217,0),MATCH(D988,$CS$159:$CW$159,0))),(INDEX($CZ$160:$DD$217,MATCH($DG$122,$CY$160:$CY$217,0),MATCH(D988,$CZ$159:$DD$159,0)))))</f>
        <v>491200</v>
      </c>
      <c r="S988" s="1333"/>
      <c r="T988" s="1333"/>
      <c r="U988" s="1333"/>
      <c r="V988" s="1333"/>
      <c r="W988" s="1333"/>
      <c r="X988" s="1333"/>
      <c r="Y988" s="1333"/>
      <c r="Z988" s="1333"/>
      <c r="AA988" s="1333"/>
      <c r="AB988" s="1362">
        <f>CZ802</f>
        <v>23</v>
      </c>
      <c r="AC988" s="1363"/>
      <c r="AD988" s="1363"/>
      <c r="AE988" s="1363"/>
      <c r="AF988" s="1363"/>
      <c r="AG988" s="1363"/>
      <c r="AH988" s="1363"/>
      <c r="AI988" s="1364"/>
      <c r="AJ988" s="1334">
        <f>IF(ISERROR((R988*AB988)),0,(R988*AB988))</f>
        <v>11297600</v>
      </c>
      <c r="AK988" s="1335"/>
      <c r="AL988" s="1335"/>
      <c r="AM988" s="1335"/>
      <c r="AN988" s="1335"/>
      <c r="AO988" s="1335"/>
      <c r="AP988" s="1335"/>
      <c r="AQ988" s="1336"/>
      <c r="AR988" s="68"/>
      <c r="AS988" s="68"/>
      <c r="AT988" s="68"/>
      <c r="AU988" s="68"/>
      <c r="AV988" s="68"/>
      <c r="AW988" s="68"/>
      <c r="AX988" s="68"/>
      <c r="AY988" s="68"/>
      <c r="AZ988" s="30"/>
      <c r="BB988" s="14"/>
      <c r="BC988" s="14"/>
    </row>
    <row r="989" spans="1:64" ht="12.95" customHeight="1">
      <c r="A989" s="14"/>
      <c r="B989" s="73"/>
      <c r="C989" s="83"/>
      <c r="D989" s="1356" t="s">
        <v>164</v>
      </c>
      <c r="E989" s="1357"/>
      <c r="F989" s="1357"/>
      <c r="G989" s="1357"/>
      <c r="H989" s="1357"/>
      <c r="I989" s="1357"/>
      <c r="J989" s="1357"/>
      <c r="K989" s="1357"/>
      <c r="L989" s="1357"/>
      <c r="M989" s="1357"/>
      <c r="N989" s="1357"/>
      <c r="O989" s="1357"/>
      <c r="P989" s="1357"/>
      <c r="Q989" s="1358"/>
      <c r="R989" s="1333">
        <f>IF(ISNA(IF($CU$122="4%",(INDEX($CS$160:$CW$217,MATCH($DG$122,$CR$160:$CR$217,0),MATCH(D989,$CS$159:$CW$159,0))),(INDEX($CZ$160:$DD$217,MATCH($DG$122,$CY$160:$CY$217,0),MATCH(D989,$CZ$159:$DD$159,0))))),0,IF($CU$122="4%",(INDEX($CS$160:$CW$217,MATCH($DG$122,$CR$160:$CR$217,0),MATCH(D989,$CS$159:$CW$159,0))),(INDEX($CZ$160:$DD$217,MATCH($DG$122,$CY$160:$CY$217,0),MATCH(D989,$CZ$159:$DD$159,0)))))</f>
        <v>628736</v>
      </c>
      <c r="S989" s="1333"/>
      <c r="T989" s="1333"/>
      <c r="U989" s="1333"/>
      <c r="V989" s="1333"/>
      <c r="W989" s="1333"/>
      <c r="X989" s="1333"/>
      <c r="Y989" s="1333"/>
      <c r="Z989" s="1333"/>
      <c r="AA989" s="1333"/>
      <c r="AB989" s="1362">
        <f>DE802</f>
        <v>15</v>
      </c>
      <c r="AC989" s="1363"/>
      <c r="AD989" s="1363"/>
      <c r="AE989" s="1363"/>
      <c r="AF989" s="1363"/>
      <c r="AG989" s="1363"/>
      <c r="AH989" s="1363"/>
      <c r="AI989" s="1364"/>
      <c r="AJ989" s="1334">
        <f>IF(ISERROR((R989*AB989)),0,(R989*AB989))</f>
        <v>9431040</v>
      </c>
      <c r="AK989" s="1335"/>
      <c r="AL989" s="1335"/>
      <c r="AM989" s="1335"/>
      <c r="AN989" s="1335"/>
      <c r="AO989" s="1335"/>
      <c r="AP989" s="1335"/>
      <c r="AQ989" s="1336"/>
      <c r="AR989" s="68"/>
      <c r="AS989" s="68"/>
      <c r="AT989" s="68"/>
      <c r="AU989" s="68"/>
      <c r="AV989" s="68"/>
      <c r="AW989" s="68"/>
      <c r="AX989" s="68"/>
      <c r="AY989" s="68"/>
      <c r="AZ989" s="30"/>
      <c r="BA989" s="34"/>
      <c r="BB989" s="14"/>
      <c r="BC989" s="14"/>
    </row>
    <row r="990" spans="1:64" ht="12.95" customHeight="1">
      <c r="A990" s="14"/>
      <c r="B990" s="47"/>
      <c r="C990" s="78"/>
      <c r="D990" s="1356" t="s">
        <v>460</v>
      </c>
      <c r="E990" s="1357"/>
      <c r="F990" s="1357"/>
      <c r="G990" s="1357"/>
      <c r="H990" s="1357"/>
      <c r="I990" s="1357"/>
      <c r="J990" s="1357"/>
      <c r="K990" s="1357"/>
      <c r="L990" s="1357"/>
      <c r="M990" s="1357"/>
      <c r="N990" s="1357"/>
      <c r="O990" s="1357"/>
      <c r="P990" s="1357"/>
      <c r="Q990" s="1358"/>
      <c r="R990" s="1333">
        <f>IF(ISNA(IF($CU$122="4%",(INDEX($CS$160:$CW$217,MATCH($DG$122,$CR$160:$CR$217,0),MATCH(D990,$CS$159:$CW$159,0))),(INDEX($CZ$160:$DD$217,MATCH($DG$122,$CY$160:$CY$217,0),MATCH(D990,$CZ$159:$DD$159,0))))),0,IF($CU$122="4%",(INDEX($CS$160:$CW$217,MATCH($DG$122,$CR$160:$CR$217,0),MATCH(D990,$CS$159:$CW$159,0))),(INDEX($CZ$160:$DD$217,MATCH($DG$122,$CY$160:$CY$217,0),MATCH(D990,$CZ$159:$DD$159,0)))))</f>
        <v>700451</v>
      </c>
      <c r="S990" s="1333"/>
      <c r="T990" s="1333"/>
      <c r="U990" s="1333"/>
      <c r="V990" s="1333"/>
      <c r="W990" s="1333"/>
      <c r="X990" s="1333"/>
      <c r="Y990" s="1333"/>
      <c r="Z990" s="1333"/>
      <c r="AA990" s="1333"/>
      <c r="AB990" s="1362">
        <f>DO802+DJ802</f>
        <v>0</v>
      </c>
      <c r="AC990" s="1363"/>
      <c r="AD990" s="1363"/>
      <c r="AE990" s="1363"/>
      <c r="AF990" s="1363"/>
      <c r="AG990" s="1363"/>
      <c r="AH990" s="1363"/>
      <c r="AI990" s="1364"/>
      <c r="AJ990" s="1334">
        <f>IF(ISERROR((R990*AB990)),0,(R990*AB990))</f>
        <v>0</v>
      </c>
      <c r="AK990" s="1335"/>
      <c r="AL990" s="1335"/>
      <c r="AM990" s="1335"/>
      <c r="AN990" s="1335"/>
      <c r="AO990" s="1335"/>
      <c r="AP990" s="1335"/>
      <c r="AQ990" s="1336"/>
      <c r="AR990" s="68"/>
      <c r="AS990" s="68"/>
      <c r="AT990" s="68"/>
      <c r="AU990" s="68"/>
      <c r="AV990" s="68"/>
      <c r="AW990" s="68"/>
      <c r="AX990" s="68"/>
      <c r="AY990" s="68"/>
      <c r="AZ990" s="30"/>
      <c r="BB990" s="14"/>
      <c r="BC990" s="14"/>
    </row>
    <row r="991" spans="1:64" ht="12.95" customHeight="1">
      <c r="A991" s="14"/>
      <c r="B991" s="1597" t="s">
        <v>791</v>
      </c>
      <c r="C991" s="1598"/>
      <c r="D991" s="1598"/>
      <c r="E991" s="1598"/>
      <c r="F991" s="1598"/>
      <c r="G991" s="1598"/>
      <c r="H991" s="1598"/>
      <c r="I991" s="1598"/>
      <c r="J991" s="1598"/>
      <c r="K991" s="1598"/>
      <c r="L991" s="1598"/>
      <c r="M991" s="1598"/>
      <c r="N991" s="1598"/>
      <c r="O991" s="1598"/>
      <c r="P991" s="1598"/>
      <c r="Q991" s="1598"/>
      <c r="R991" s="1598"/>
      <c r="S991" s="1598"/>
      <c r="T991" s="1598"/>
      <c r="U991" s="1598"/>
      <c r="V991" s="1598"/>
      <c r="W991" s="1598"/>
      <c r="X991" s="1598"/>
      <c r="Y991" s="1598"/>
      <c r="Z991" s="1598"/>
      <c r="AA991" s="1599"/>
      <c r="AB991" s="1362">
        <f>SUM(AB986:AI990)</f>
        <v>272</v>
      </c>
      <c r="AC991" s="1363"/>
      <c r="AD991" s="1363"/>
      <c r="AE991" s="1363"/>
      <c r="AF991" s="1363"/>
      <c r="AG991" s="1363"/>
      <c r="AH991" s="1363"/>
      <c r="AI991" s="1364"/>
      <c r="AJ991" s="1334"/>
      <c r="AK991" s="1335"/>
      <c r="AL991" s="1335"/>
      <c r="AM991" s="1335"/>
      <c r="AN991" s="1335"/>
      <c r="AO991" s="1335"/>
      <c r="AP991" s="1335"/>
      <c r="AQ991" s="1336"/>
      <c r="AR991" s="68"/>
      <c r="AS991" s="68"/>
      <c r="AT991" s="68"/>
      <c r="AU991" s="68"/>
      <c r="AV991" s="68"/>
      <c r="AW991" s="68"/>
      <c r="AX991" s="68"/>
      <c r="AY991" s="68"/>
      <c r="AZ991" s="34"/>
      <c r="BA991" s="34"/>
      <c r="BB991" s="14"/>
      <c r="BC991" s="14"/>
    </row>
    <row r="992" spans="1:64" ht="12.95" customHeight="1">
      <c r="A992" s="14"/>
      <c r="B992" s="1585" t="s">
        <v>512</v>
      </c>
      <c r="C992" s="1586"/>
      <c r="D992" s="1586"/>
      <c r="E992" s="1586"/>
      <c r="F992" s="1586"/>
      <c r="G992" s="1586"/>
      <c r="H992" s="1586"/>
      <c r="I992" s="1586"/>
      <c r="J992" s="1586"/>
      <c r="K992" s="1586"/>
      <c r="L992" s="1586"/>
      <c r="M992" s="1586"/>
      <c r="N992" s="1586"/>
      <c r="O992" s="1586"/>
      <c r="P992" s="1586"/>
      <c r="Q992" s="1586"/>
      <c r="R992" s="1586"/>
      <c r="S992" s="1586"/>
      <c r="T992" s="1586"/>
      <c r="U992" s="1586"/>
      <c r="V992" s="1586"/>
      <c r="W992" s="1586"/>
      <c r="X992" s="1586"/>
      <c r="Y992" s="1586"/>
      <c r="Z992" s="1586"/>
      <c r="AA992" s="1586"/>
      <c r="AB992" s="1586"/>
      <c r="AC992" s="1586"/>
      <c r="AD992" s="1586"/>
      <c r="AE992" s="1586"/>
      <c r="AF992" s="1586"/>
      <c r="AG992" s="1586"/>
      <c r="AH992" s="1586"/>
      <c r="AI992" s="1587"/>
      <c r="AJ992" s="1334">
        <f>SUM(AJ986:AQ990)</f>
        <v>112016242</v>
      </c>
      <c r="AK992" s="1335"/>
      <c r="AL992" s="1335"/>
      <c r="AM992" s="1335"/>
      <c r="AN992" s="1335"/>
      <c r="AO992" s="1335"/>
      <c r="AP992" s="1335"/>
      <c r="AQ992" s="1336"/>
      <c r="AR992" s="68"/>
      <c r="AS992" s="68"/>
      <c r="AT992" s="68"/>
      <c r="AU992" s="68"/>
      <c r="AV992" s="68"/>
      <c r="AW992" s="68"/>
      <c r="AX992" s="68"/>
      <c r="AY992" s="68"/>
      <c r="AZ992" s="34"/>
      <c r="BB992" s="34"/>
      <c r="BC992" s="34"/>
    </row>
    <row r="993" spans="1:55" ht="12.95" customHeight="1">
      <c r="A993" s="14"/>
      <c r="B993" s="1594"/>
      <c r="C993" s="1595"/>
      <c r="D993" s="1595"/>
      <c r="E993" s="1595"/>
      <c r="F993" s="1595"/>
      <c r="G993" s="1595"/>
      <c r="H993" s="1595"/>
      <c r="I993" s="1595"/>
      <c r="J993" s="1595"/>
      <c r="K993" s="1595"/>
      <c r="L993" s="1595"/>
      <c r="M993" s="1595"/>
      <c r="N993" s="1595"/>
      <c r="O993" s="1595"/>
      <c r="P993" s="1595"/>
      <c r="Q993" s="1595"/>
      <c r="R993" s="1595"/>
      <c r="S993" s="1595"/>
      <c r="T993" s="1595"/>
      <c r="U993" s="1595"/>
      <c r="V993" s="1595"/>
      <c r="W993" s="1595"/>
      <c r="X993" s="1595"/>
      <c r="Y993" s="1595"/>
      <c r="Z993" s="1595"/>
      <c r="AA993" s="1595"/>
      <c r="AB993" s="1595"/>
      <c r="AC993" s="1595"/>
      <c r="AD993" s="1595"/>
      <c r="AE993" s="1596"/>
      <c r="AF993" s="1530" t="s">
        <v>666</v>
      </c>
      <c r="AG993" s="1531"/>
      <c r="AH993" s="1531"/>
      <c r="AI993" s="1532"/>
      <c r="AJ993" s="1594"/>
      <c r="AK993" s="1595"/>
      <c r="AL993" s="1595"/>
      <c r="AM993" s="1595"/>
      <c r="AN993" s="1595"/>
      <c r="AO993" s="1595"/>
      <c r="AP993" s="1595"/>
      <c r="AQ993" s="1596"/>
      <c r="AR993" s="68"/>
      <c r="AS993" s="68"/>
      <c r="AT993" s="68"/>
      <c r="AU993" s="68"/>
      <c r="AV993" s="68"/>
      <c r="AW993" s="68"/>
      <c r="AX993" s="68"/>
      <c r="AY993" s="68"/>
      <c r="AZ993" s="34"/>
      <c r="BA993" s="34"/>
      <c r="BB993" s="34"/>
      <c r="BC993" s="34"/>
    </row>
    <row r="994" spans="1:55" ht="12.95" customHeight="1">
      <c r="A994" s="14"/>
      <c r="B994" s="73"/>
      <c r="C994" s="927" t="s">
        <v>668</v>
      </c>
      <c r="D994" s="1535" t="s">
        <v>1219</v>
      </c>
      <c r="E994" s="1536"/>
      <c r="F994" s="1536"/>
      <c r="G994" s="1536"/>
      <c r="H994" s="1536"/>
      <c r="I994" s="1536"/>
      <c r="J994" s="1536"/>
      <c r="K994" s="1536"/>
      <c r="L994" s="1536"/>
      <c r="M994" s="1536"/>
      <c r="N994" s="1536"/>
      <c r="O994" s="1536"/>
      <c r="P994" s="1536"/>
      <c r="Q994" s="1536"/>
      <c r="R994" s="1536"/>
      <c r="S994" s="1536"/>
      <c r="T994" s="1536"/>
      <c r="U994" s="1536"/>
      <c r="V994" s="1536"/>
      <c r="W994" s="1536"/>
      <c r="X994" s="1536"/>
      <c r="Y994" s="1536"/>
      <c r="Z994" s="1536"/>
      <c r="AA994" s="1536"/>
      <c r="AB994" s="1536"/>
      <c r="AC994" s="1536"/>
      <c r="AD994" s="1536"/>
      <c r="AE994" s="1537"/>
      <c r="AF994" s="79"/>
      <c r="AG994" s="1533" t="s">
        <v>669</v>
      </c>
      <c r="AH994" s="1534"/>
      <c r="AI994" s="87"/>
      <c r="AJ994" s="1366">
        <f>ROUND(IF(AND(AG994="yes",D1000&gt;0),AJ992*0.2,0),0)</f>
        <v>0</v>
      </c>
      <c r="AK994" s="1367"/>
      <c r="AL994" s="1367"/>
      <c r="AM994" s="1367"/>
      <c r="AN994" s="1367"/>
      <c r="AO994" s="1367"/>
      <c r="AP994" s="1367"/>
      <c r="AQ994" s="1368"/>
      <c r="AR994" s="68"/>
      <c r="AS994" s="68"/>
      <c r="AT994" s="68"/>
      <c r="AU994" s="68"/>
      <c r="AV994" s="68"/>
      <c r="AW994" s="68"/>
      <c r="AX994" s="68"/>
      <c r="AY994" s="68"/>
      <c r="AZ994" s="34"/>
      <c r="BA994" s="34"/>
      <c r="BB994" s="34"/>
      <c r="BC994" s="34"/>
    </row>
    <row r="995" spans="1:55" ht="12.95" customHeight="1">
      <c r="A995" s="14"/>
      <c r="B995" s="257"/>
      <c r="C995" s="256"/>
      <c r="D995" s="1575" t="s">
        <v>2234</v>
      </c>
      <c r="E995" s="1576"/>
      <c r="F995" s="1576"/>
      <c r="G995" s="1576"/>
      <c r="H995" s="1576"/>
      <c r="I995" s="1576"/>
      <c r="J995" s="1576"/>
      <c r="K995" s="1576"/>
      <c r="L995" s="1576"/>
      <c r="M995" s="1576"/>
      <c r="N995" s="1576"/>
      <c r="O995" s="1576"/>
      <c r="P995" s="1576"/>
      <c r="Q995" s="1576"/>
      <c r="R995" s="1576"/>
      <c r="S995" s="1576"/>
      <c r="T995" s="1576"/>
      <c r="U995" s="1576"/>
      <c r="V995" s="1576"/>
      <c r="W995" s="1576"/>
      <c r="X995" s="1576"/>
      <c r="Y995" s="1576"/>
      <c r="Z995" s="1576"/>
      <c r="AA995" s="1576"/>
      <c r="AB995" s="1576"/>
      <c r="AC995" s="1576"/>
      <c r="AD995" s="1576"/>
      <c r="AE995" s="1577"/>
      <c r="AF995" s="73"/>
      <c r="AG995" s="14"/>
      <c r="AH995" s="14"/>
      <c r="AI995" s="83"/>
      <c r="AJ995" s="1369"/>
      <c r="AK995" s="1370"/>
      <c r="AL995" s="1370"/>
      <c r="AM995" s="1370"/>
      <c r="AN995" s="1370"/>
      <c r="AO995" s="1370"/>
      <c r="AP995" s="1370"/>
      <c r="AQ995" s="1371"/>
      <c r="AR995" s="68"/>
      <c r="AS995" s="68"/>
      <c r="AT995" s="68"/>
      <c r="AU995" s="68"/>
      <c r="AV995" s="68"/>
      <c r="AW995" s="68"/>
      <c r="AX995" s="68"/>
      <c r="AY995" s="68"/>
      <c r="AZ995" s="34"/>
      <c r="BA995" s="34"/>
      <c r="BB995" s="34"/>
      <c r="BC995" s="34"/>
    </row>
    <row r="996" spans="1:55" ht="12.95" customHeight="1">
      <c r="A996" s="14"/>
      <c r="B996" s="257"/>
      <c r="C996" s="256"/>
      <c r="D996" s="1575"/>
      <c r="E996" s="1576"/>
      <c r="F996" s="1576"/>
      <c r="G996" s="1576"/>
      <c r="H996" s="1576"/>
      <c r="I996" s="1576"/>
      <c r="J996" s="1576"/>
      <c r="K996" s="1576"/>
      <c r="L996" s="1576"/>
      <c r="M996" s="1576"/>
      <c r="N996" s="1576"/>
      <c r="O996" s="1576"/>
      <c r="P996" s="1576"/>
      <c r="Q996" s="1576"/>
      <c r="R996" s="1576"/>
      <c r="S996" s="1576"/>
      <c r="T996" s="1576"/>
      <c r="U996" s="1576"/>
      <c r="V996" s="1576"/>
      <c r="W996" s="1576"/>
      <c r="X996" s="1576"/>
      <c r="Y996" s="1576"/>
      <c r="Z996" s="1576"/>
      <c r="AA996" s="1576"/>
      <c r="AB996" s="1576"/>
      <c r="AC996" s="1576"/>
      <c r="AD996" s="1576"/>
      <c r="AE996" s="1577"/>
      <c r="AF996" s="73"/>
      <c r="AG996" s="14"/>
      <c r="AH996" s="14"/>
      <c r="AI996" s="83"/>
      <c r="AJ996" s="1369"/>
      <c r="AK996" s="1370"/>
      <c r="AL996" s="1370"/>
      <c r="AM996" s="1370"/>
      <c r="AN996" s="1370"/>
      <c r="AO996" s="1370"/>
      <c r="AP996" s="1370"/>
      <c r="AQ996" s="1371"/>
      <c r="AR996" s="68"/>
      <c r="AS996" s="68"/>
      <c r="AT996" s="68"/>
      <c r="AU996" s="68"/>
      <c r="AV996" s="68"/>
      <c r="AW996" s="68"/>
      <c r="AX996" s="68"/>
      <c r="AY996" s="68"/>
      <c r="AZ996" s="34"/>
      <c r="BA996" s="34"/>
      <c r="BB996" s="34"/>
      <c r="BC996" s="34"/>
    </row>
    <row r="997" spans="1:55" ht="12.95" customHeight="1">
      <c r="A997" s="14"/>
      <c r="B997" s="257"/>
      <c r="C997" s="256"/>
      <c r="D997" s="1575"/>
      <c r="E997" s="1576"/>
      <c r="F997" s="1576"/>
      <c r="G997" s="1576"/>
      <c r="H997" s="1576"/>
      <c r="I997" s="1576"/>
      <c r="J997" s="1576"/>
      <c r="K997" s="1576"/>
      <c r="L997" s="1576"/>
      <c r="M997" s="1576"/>
      <c r="N997" s="1576"/>
      <c r="O997" s="1576"/>
      <c r="P997" s="1576"/>
      <c r="Q997" s="1576"/>
      <c r="R997" s="1576"/>
      <c r="S997" s="1576"/>
      <c r="T997" s="1576"/>
      <c r="U997" s="1576"/>
      <c r="V997" s="1576"/>
      <c r="W997" s="1576"/>
      <c r="X997" s="1576"/>
      <c r="Y997" s="1576"/>
      <c r="Z997" s="1576"/>
      <c r="AA997" s="1576"/>
      <c r="AB997" s="1576"/>
      <c r="AC997" s="1576"/>
      <c r="AD997" s="1576"/>
      <c r="AE997" s="1577"/>
      <c r="AF997" s="73"/>
      <c r="AG997" s="14"/>
      <c r="AH997" s="14"/>
      <c r="AI997" s="83"/>
      <c r="AJ997" s="1369"/>
      <c r="AK997" s="1370"/>
      <c r="AL997" s="1370"/>
      <c r="AM997" s="1370"/>
      <c r="AN997" s="1370"/>
      <c r="AO997" s="1370"/>
      <c r="AP997" s="1370"/>
      <c r="AQ997" s="1371"/>
      <c r="AR997" s="68"/>
      <c r="AS997" s="68"/>
      <c r="AT997" s="68"/>
      <c r="AU997" s="68"/>
      <c r="AV997" s="68"/>
      <c r="AW997" s="68"/>
      <c r="AX997" s="68"/>
      <c r="AY997" s="68"/>
      <c r="AZ997" s="34"/>
      <c r="BA997" s="34"/>
      <c r="BB997" s="34"/>
      <c r="BC997" s="34"/>
    </row>
    <row r="998" spans="1:55" ht="12.95" customHeight="1">
      <c r="A998" s="14"/>
      <c r="B998" s="257"/>
      <c r="C998" s="256"/>
      <c r="D998" s="1575"/>
      <c r="E998" s="1576"/>
      <c r="F998" s="1576"/>
      <c r="G998" s="1576"/>
      <c r="H998" s="1576"/>
      <c r="I998" s="1576"/>
      <c r="J998" s="1576"/>
      <c r="K998" s="1576"/>
      <c r="L998" s="1576"/>
      <c r="M998" s="1576"/>
      <c r="N998" s="1576"/>
      <c r="O998" s="1576"/>
      <c r="P998" s="1576"/>
      <c r="Q998" s="1576"/>
      <c r="R998" s="1576"/>
      <c r="S998" s="1576"/>
      <c r="T998" s="1576"/>
      <c r="U998" s="1576"/>
      <c r="V998" s="1576"/>
      <c r="W998" s="1576"/>
      <c r="X998" s="1576"/>
      <c r="Y998" s="1576"/>
      <c r="Z998" s="1576"/>
      <c r="AA998" s="1576"/>
      <c r="AB998" s="1576"/>
      <c r="AC998" s="1576"/>
      <c r="AD998" s="1576"/>
      <c r="AE998" s="1577"/>
      <c r="AF998" s="73"/>
      <c r="AG998" s="14"/>
      <c r="AH998" s="14"/>
      <c r="AI998" s="83"/>
      <c r="AJ998" s="1369"/>
      <c r="AK998" s="1370"/>
      <c r="AL998" s="1370"/>
      <c r="AM998" s="1370"/>
      <c r="AN998" s="1370"/>
      <c r="AO998" s="1370"/>
      <c r="AP998" s="1370"/>
      <c r="AQ998" s="1371"/>
      <c r="AR998" s="68"/>
      <c r="AS998" s="68"/>
      <c r="AT998" s="68"/>
      <c r="AU998" s="68"/>
      <c r="AV998" s="68"/>
      <c r="AW998" s="68"/>
      <c r="AX998" s="68"/>
      <c r="AY998" s="68"/>
      <c r="AZ998" s="34"/>
      <c r="BA998" s="34"/>
      <c r="BB998" s="34"/>
      <c r="BC998" s="34"/>
    </row>
    <row r="999" spans="1:55" ht="12.95" customHeight="1">
      <c r="A999" s="14"/>
      <c r="B999" s="257"/>
      <c r="C999" s="256"/>
      <c r="D999" s="1578" t="s">
        <v>2205</v>
      </c>
      <c r="E999" s="1579"/>
      <c r="F999" s="1579"/>
      <c r="G999" s="1579"/>
      <c r="H999" s="1579"/>
      <c r="I999" s="1579"/>
      <c r="J999" s="1579"/>
      <c r="K999" s="1579"/>
      <c r="L999" s="1579"/>
      <c r="M999" s="1579"/>
      <c r="N999" s="1579"/>
      <c r="O999" s="1579"/>
      <c r="P999" s="1579"/>
      <c r="Q999" s="1579"/>
      <c r="R999" s="1579"/>
      <c r="S999" s="1579"/>
      <c r="T999" s="1579"/>
      <c r="U999" s="1579"/>
      <c r="V999" s="1579"/>
      <c r="W999" s="1579"/>
      <c r="X999" s="1579"/>
      <c r="Y999" s="1579"/>
      <c r="Z999" s="1579"/>
      <c r="AA999" s="1579"/>
      <c r="AB999" s="1579"/>
      <c r="AC999" s="1579"/>
      <c r="AD999" s="1579"/>
      <c r="AE999" s="1580"/>
      <c r="AF999" s="73"/>
      <c r="AG999" s="14"/>
      <c r="AH999" s="14"/>
      <c r="AI999" s="83"/>
      <c r="AJ999" s="1369"/>
      <c r="AK999" s="1370"/>
      <c r="AL999" s="1370"/>
      <c r="AM999" s="1370"/>
      <c r="AN999" s="1370"/>
      <c r="AO999" s="1370"/>
      <c r="AP999" s="1370"/>
      <c r="AQ999" s="1371"/>
      <c r="AR999" s="68"/>
      <c r="AS999" s="68"/>
      <c r="AT999" s="68"/>
      <c r="AU999" s="68"/>
      <c r="AV999" s="68"/>
      <c r="AW999" s="68"/>
      <c r="AX999" s="68"/>
      <c r="AY999" s="68"/>
      <c r="AZ999" s="34"/>
      <c r="BA999" s="34"/>
      <c r="BB999" s="34"/>
      <c r="BC999" s="34"/>
    </row>
    <row r="1000" spans="1:55" ht="12.95" customHeight="1">
      <c r="A1000" s="14"/>
      <c r="B1000" s="257"/>
      <c r="C1000" s="256"/>
      <c r="D1000" s="1600"/>
      <c r="E1000" s="1601"/>
      <c r="F1000" s="1601"/>
      <c r="G1000" s="1601"/>
      <c r="H1000" s="1601"/>
      <c r="I1000" s="1601"/>
      <c r="J1000" s="1601"/>
      <c r="K1000" s="1601"/>
      <c r="L1000" s="1601"/>
      <c r="M1000" s="1601"/>
      <c r="N1000" s="1601"/>
      <c r="O1000" s="1601"/>
      <c r="P1000" s="1601"/>
      <c r="Q1000" s="1601"/>
      <c r="R1000" s="1601"/>
      <c r="S1000" s="1601"/>
      <c r="T1000" s="1601"/>
      <c r="U1000" s="1601"/>
      <c r="V1000" s="1601"/>
      <c r="W1000" s="1601"/>
      <c r="X1000" s="1601"/>
      <c r="Y1000" s="1601"/>
      <c r="Z1000" s="1601"/>
      <c r="AA1000" s="1601"/>
      <c r="AB1000" s="1601"/>
      <c r="AC1000" s="1601"/>
      <c r="AD1000" s="1601"/>
      <c r="AE1000" s="1602"/>
      <c r="AF1000" s="77"/>
      <c r="AG1000" s="7"/>
      <c r="AH1000" s="7"/>
      <c r="AI1000" s="78"/>
      <c r="AJ1000" s="1372"/>
      <c r="AK1000" s="1373"/>
      <c r="AL1000" s="1373"/>
      <c r="AM1000" s="1373"/>
      <c r="AN1000" s="1373"/>
      <c r="AO1000" s="1373"/>
      <c r="AP1000" s="1373"/>
      <c r="AQ1000" s="1374"/>
      <c r="AR1000" s="68"/>
      <c r="AS1000" s="68"/>
      <c r="AT1000" s="68"/>
      <c r="AU1000" s="68"/>
      <c r="AV1000" s="68"/>
      <c r="AW1000" s="68"/>
      <c r="AX1000" s="68"/>
      <c r="AY1000" s="68"/>
      <c r="AZ1000" s="34"/>
      <c r="BA1000" s="34"/>
      <c r="BB1000" s="34"/>
      <c r="BC1000" s="34"/>
    </row>
    <row r="1001" spans="1:55" ht="12.95" customHeight="1">
      <c r="A1001" s="14"/>
      <c r="B1001" s="255"/>
      <c r="C1001" s="318"/>
      <c r="D1001" s="1347" t="s">
        <v>1285</v>
      </c>
      <c r="E1001" s="1348"/>
      <c r="F1001" s="1348"/>
      <c r="G1001" s="1348"/>
      <c r="H1001" s="1348"/>
      <c r="I1001" s="1348"/>
      <c r="J1001" s="1348"/>
      <c r="K1001" s="1348"/>
      <c r="L1001" s="1348"/>
      <c r="M1001" s="1348"/>
      <c r="N1001" s="1348"/>
      <c r="O1001" s="1348"/>
      <c r="P1001" s="1348"/>
      <c r="Q1001" s="1348"/>
      <c r="R1001" s="1348"/>
      <c r="S1001" s="1348"/>
      <c r="T1001" s="1348"/>
      <c r="U1001" s="1348"/>
      <c r="V1001" s="1348"/>
      <c r="W1001" s="1348"/>
      <c r="X1001" s="1348"/>
      <c r="Y1001" s="1348"/>
      <c r="Z1001" s="1348"/>
      <c r="AA1001" s="1348"/>
      <c r="AB1001" s="1348"/>
      <c r="AC1001" s="1348"/>
      <c r="AD1001" s="1348"/>
      <c r="AE1001" s="1349"/>
      <c r="AF1001" s="79"/>
      <c r="AG1001" s="1419" t="s">
        <v>669</v>
      </c>
      <c r="AH1001" s="1420"/>
      <c r="AI1001" s="87"/>
      <c r="AJ1001" s="1366">
        <f>ROUND(IF(AG1001="yes",AJ992*0.05,0),0)</f>
        <v>0</v>
      </c>
      <c r="AK1001" s="1367"/>
      <c r="AL1001" s="1367"/>
      <c r="AM1001" s="1367"/>
      <c r="AN1001" s="1367"/>
      <c r="AO1001" s="1367"/>
      <c r="AP1001" s="1367"/>
      <c r="AQ1001" s="1368"/>
      <c r="AR1001" s="68"/>
      <c r="AS1001" s="68"/>
      <c r="AT1001" s="68"/>
      <c r="AU1001" s="68"/>
      <c r="AV1001" s="68"/>
      <c r="AW1001" s="68"/>
      <c r="AX1001" s="68"/>
      <c r="AY1001" s="68"/>
      <c r="AZ1001" s="34"/>
      <c r="BA1001" s="34"/>
      <c r="BB1001" s="34"/>
      <c r="BC1001" s="34"/>
    </row>
    <row r="1002" spans="1:55" ht="12.95" customHeight="1">
      <c r="A1002" s="14"/>
      <c r="B1002" s="257"/>
      <c r="C1002" s="82"/>
      <c r="D1002" s="1575" t="s">
        <v>1283</v>
      </c>
      <c r="E1002" s="1576"/>
      <c r="F1002" s="1576"/>
      <c r="G1002" s="1576"/>
      <c r="H1002" s="1576"/>
      <c r="I1002" s="1576"/>
      <c r="J1002" s="1576"/>
      <c r="K1002" s="1576"/>
      <c r="L1002" s="1576"/>
      <c r="M1002" s="1576"/>
      <c r="N1002" s="1576"/>
      <c r="O1002" s="1576"/>
      <c r="P1002" s="1576"/>
      <c r="Q1002" s="1576"/>
      <c r="R1002" s="1576"/>
      <c r="S1002" s="1576"/>
      <c r="T1002" s="1576"/>
      <c r="U1002" s="1576"/>
      <c r="V1002" s="1576"/>
      <c r="W1002" s="1576"/>
      <c r="X1002" s="1576"/>
      <c r="Y1002" s="1576"/>
      <c r="Z1002" s="1576"/>
      <c r="AA1002" s="1576"/>
      <c r="AB1002" s="1576"/>
      <c r="AC1002" s="1576"/>
      <c r="AD1002" s="1576"/>
      <c r="AE1002" s="1577"/>
      <c r="AF1002" s="73"/>
      <c r="AG1002" s="14"/>
      <c r="AH1002" s="14"/>
      <c r="AI1002" s="83"/>
      <c r="AJ1002" s="1369"/>
      <c r="AK1002" s="1370"/>
      <c r="AL1002" s="1370"/>
      <c r="AM1002" s="1370"/>
      <c r="AN1002" s="1370"/>
      <c r="AO1002" s="1370"/>
      <c r="AP1002" s="1370"/>
      <c r="AQ1002" s="1371"/>
      <c r="AR1002" s="68"/>
      <c r="AS1002" s="68"/>
      <c r="AT1002" s="68"/>
      <c r="AU1002" s="68"/>
      <c r="AV1002" s="68"/>
      <c r="AW1002" s="68"/>
      <c r="AX1002" s="68"/>
      <c r="AY1002" s="34"/>
      <c r="AZ1002" s="34"/>
      <c r="BB1002" s="34"/>
    </row>
    <row r="1003" spans="1:55" ht="12.95" customHeight="1">
      <c r="A1003" s="14"/>
      <c r="B1003" s="257"/>
      <c r="C1003" s="82"/>
      <c r="D1003" s="1575"/>
      <c r="E1003" s="1576"/>
      <c r="F1003" s="1576"/>
      <c r="G1003" s="1576"/>
      <c r="H1003" s="1576"/>
      <c r="I1003" s="1576"/>
      <c r="J1003" s="1576"/>
      <c r="K1003" s="1576"/>
      <c r="L1003" s="1576"/>
      <c r="M1003" s="1576"/>
      <c r="N1003" s="1576"/>
      <c r="O1003" s="1576"/>
      <c r="P1003" s="1576"/>
      <c r="Q1003" s="1576"/>
      <c r="R1003" s="1576"/>
      <c r="S1003" s="1576"/>
      <c r="T1003" s="1576"/>
      <c r="U1003" s="1576"/>
      <c r="V1003" s="1576"/>
      <c r="W1003" s="1576"/>
      <c r="X1003" s="1576"/>
      <c r="Y1003" s="1576"/>
      <c r="Z1003" s="1576"/>
      <c r="AA1003" s="1576"/>
      <c r="AB1003" s="1576"/>
      <c r="AC1003" s="1576"/>
      <c r="AD1003" s="1576"/>
      <c r="AE1003" s="1577"/>
      <c r="AF1003" s="73"/>
      <c r="AG1003" s="14"/>
      <c r="AH1003" s="14"/>
      <c r="AI1003" s="83"/>
      <c r="AJ1003" s="1369"/>
      <c r="AK1003" s="1370"/>
      <c r="AL1003" s="1370"/>
      <c r="AM1003" s="1370"/>
      <c r="AN1003" s="1370"/>
      <c r="AO1003" s="1370"/>
      <c r="AP1003" s="1370"/>
      <c r="AQ1003" s="1371"/>
      <c r="AR1003" s="68"/>
      <c r="AS1003" s="68"/>
      <c r="AT1003" s="68"/>
      <c r="AU1003" s="68"/>
      <c r="AV1003" s="68"/>
      <c r="AW1003" s="68"/>
      <c r="AX1003" s="68"/>
      <c r="AY1003" s="914">
        <f>G753+O797</f>
        <v>269</v>
      </c>
      <c r="AZ1003" s="34"/>
      <c r="BB1003" s="34"/>
    </row>
    <row r="1004" spans="1:55" ht="12.95" customHeight="1">
      <c r="A1004" s="14"/>
      <c r="B1004" s="257"/>
      <c r="C1004" s="82"/>
      <c r="D1004" s="1575"/>
      <c r="E1004" s="1576"/>
      <c r="F1004" s="1576"/>
      <c r="G1004" s="1576"/>
      <c r="H1004" s="1576"/>
      <c r="I1004" s="1576"/>
      <c r="J1004" s="1576"/>
      <c r="K1004" s="1576"/>
      <c r="L1004" s="1576"/>
      <c r="M1004" s="1576"/>
      <c r="N1004" s="1576"/>
      <c r="O1004" s="1576"/>
      <c r="P1004" s="1576"/>
      <c r="Q1004" s="1576"/>
      <c r="R1004" s="1576"/>
      <c r="S1004" s="1576"/>
      <c r="T1004" s="1576"/>
      <c r="U1004" s="1576"/>
      <c r="V1004" s="1576"/>
      <c r="W1004" s="1576"/>
      <c r="X1004" s="1576"/>
      <c r="Y1004" s="1576"/>
      <c r="Z1004" s="1576"/>
      <c r="AA1004" s="1576"/>
      <c r="AB1004" s="1576"/>
      <c r="AC1004" s="1576"/>
      <c r="AD1004" s="1576"/>
      <c r="AE1004" s="1577"/>
      <c r="AF1004" s="73"/>
      <c r="AG1004" s="14"/>
      <c r="AH1004" s="14"/>
      <c r="AI1004" s="83"/>
      <c r="AJ1004" s="1369"/>
      <c r="AK1004" s="1370"/>
      <c r="AL1004" s="1370"/>
      <c r="AM1004" s="1370"/>
      <c r="AN1004" s="1370"/>
      <c r="AO1004" s="1370"/>
      <c r="AP1004" s="1370"/>
      <c r="AQ1004" s="1371"/>
      <c r="AR1004" s="68"/>
      <c r="AS1004" s="68"/>
      <c r="AT1004" s="68"/>
      <c r="AU1004" s="68"/>
      <c r="AV1004" s="68"/>
      <c r="AW1004" s="68"/>
      <c r="AX1004" s="68"/>
      <c r="AY1004" s="14"/>
      <c r="AZ1004" s="34"/>
      <c r="BB1004" s="34"/>
    </row>
    <row r="1005" spans="1:55" ht="12.95" customHeight="1">
      <c r="A1005" s="14"/>
      <c r="B1005" s="257"/>
      <c r="C1005" s="82"/>
      <c r="D1005" s="1575"/>
      <c r="E1005" s="1576"/>
      <c r="F1005" s="1576"/>
      <c r="G1005" s="1576"/>
      <c r="H1005" s="1576"/>
      <c r="I1005" s="1576"/>
      <c r="J1005" s="1576"/>
      <c r="K1005" s="1576"/>
      <c r="L1005" s="1576"/>
      <c r="M1005" s="1576"/>
      <c r="N1005" s="1576"/>
      <c r="O1005" s="1576"/>
      <c r="P1005" s="1576"/>
      <c r="Q1005" s="1576"/>
      <c r="R1005" s="1576"/>
      <c r="S1005" s="1576"/>
      <c r="T1005" s="1576"/>
      <c r="U1005" s="1576"/>
      <c r="V1005" s="1576"/>
      <c r="W1005" s="1576"/>
      <c r="X1005" s="1576"/>
      <c r="Y1005" s="1576"/>
      <c r="Z1005" s="1576"/>
      <c r="AA1005" s="1576"/>
      <c r="AB1005" s="1576"/>
      <c r="AC1005" s="1576"/>
      <c r="AD1005" s="1576"/>
      <c r="AE1005" s="1577"/>
      <c r="AF1005" s="73"/>
      <c r="AG1005" s="14"/>
      <c r="AH1005" s="14"/>
      <c r="AI1005" s="83"/>
      <c r="AJ1005" s="1369"/>
      <c r="AK1005" s="1370"/>
      <c r="AL1005" s="1370"/>
      <c r="AM1005" s="1370"/>
      <c r="AN1005" s="1370"/>
      <c r="AO1005" s="1370"/>
      <c r="AP1005" s="1370"/>
      <c r="AQ1005" s="1371"/>
      <c r="AR1005" s="68"/>
      <c r="AS1005" s="68"/>
      <c r="AT1005" s="68"/>
      <c r="AU1005" s="68"/>
      <c r="AV1005" s="68"/>
      <c r="AW1005" s="68"/>
      <c r="AX1005" s="68"/>
      <c r="AY1005" s="913">
        <f>ROUNDDOWN(X1048/I1048,2)</f>
        <v>0.1</v>
      </c>
      <c r="AZ1005" s="34"/>
      <c r="BB1005" s="34"/>
    </row>
    <row r="1006" spans="1:55" ht="12.95" customHeight="1">
      <c r="A1006" s="14"/>
      <c r="B1006" s="75"/>
      <c r="C1006" s="76"/>
      <c r="D1006" s="1578"/>
      <c r="E1006" s="1579"/>
      <c r="F1006" s="1579"/>
      <c r="G1006" s="1579"/>
      <c r="H1006" s="1579"/>
      <c r="I1006" s="1579"/>
      <c r="J1006" s="1579"/>
      <c r="K1006" s="1579"/>
      <c r="L1006" s="1579"/>
      <c r="M1006" s="1579"/>
      <c r="N1006" s="1579"/>
      <c r="O1006" s="1579"/>
      <c r="P1006" s="1579"/>
      <c r="Q1006" s="1579"/>
      <c r="R1006" s="1579"/>
      <c r="S1006" s="1579"/>
      <c r="T1006" s="1579"/>
      <c r="U1006" s="1579"/>
      <c r="V1006" s="1579"/>
      <c r="W1006" s="1579"/>
      <c r="X1006" s="1579"/>
      <c r="Y1006" s="1579"/>
      <c r="Z1006" s="1579"/>
      <c r="AA1006" s="1579"/>
      <c r="AB1006" s="1579"/>
      <c r="AC1006" s="1579"/>
      <c r="AD1006" s="1579"/>
      <c r="AE1006" s="1580"/>
      <c r="AF1006" s="77"/>
      <c r="AG1006" s="7"/>
      <c r="AH1006" s="7"/>
      <c r="AI1006" s="78"/>
      <c r="AJ1006" s="1372"/>
      <c r="AK1006" s="1373"/>
      <c r="AL1006" s="1373"/>
      <c r="AM1006" s="1373"/>
      <c r="AN1006" s="1373"/>
      <c r="AO1006" s="1373"/>
      <c r="AP1006" s="1373"/>
      <c r="AQ1006" s="1374"/>
      <c r="AR1006" s="68"/>
      <c r="AS1006" s="68"/>
      <c r="AT1006" s="68"/>
      <c r="AU1006" s="68"/>
      <c r="AV1006" s="68"/>
      <c r="AW1006" s="68"/>
      <c r="AX1006" s="68"/>
      <c r="AY1006" s="913">
        <f>ROUNDDOWN(X1052/I1052,2)</f>
        <v>0.1</v>
      </c>
      <c r="AZ1006" s="34"/>
      <c r="BB1006" s="34"/>
    </row>
    <row r="1007" spans="1:55" ht="12.95" customHeight="1">
      <c r="A1007" s="14"/>
      <c r="B1007" s="255"/>
      <c r="C1007" s="80" t="s">
        <v>672</v>
      </c>
      <c r="D1007" s="1347" t="s">
        <v>1682</v>
      </c>
      <c r="E1007" s="1348"/>
      <c r="F1007" s="1348"/>
      <c r="G1007" s="1348"/>
      <c r="H1007" s="1348"/>
      <c r="I1007" s="1348"/>
      <c r="J1007" s="1348"/>
      <c r="K1007" s="1348"/>
      <c r="L1007" s="1348"/>
      <c r="M1007" s="1348"/>
      <c r="N1007" s="1348"/>
      <c r="O1007" s="1348"/>
      <c r="P1007" s="1348"/>
      <c r="Q1007" s="1348"/>
      <c r="R1007" s="1348"/>
      <c r="S1007" s="1348"/>
      <c r="T1007" s="1348"/>
      <c r="U1007" s="1348"/>
      <c r="V1007" s="1348"/>
      <c r="W1007" s="1348"/>
      <c r="X1007" s="1348"/>
      <c r="Y1007" s="1348"/>
      <c r="Z1007" s="1348"/>
      <c r="AA1007" s="1348"/>
      <c r="AB1007" s="1348"/>
      <c r="AC1007" s="1348"/>
      <c r="AD1007" s="1348"/>
      <c r="AE1007" s="1349"/>
      <c r="AF1007" s="86"/>
      <c r="AG1007" s="1419" t="s">
        <v>669</v>
      </c>
      <c r="AH1007" s="1420"/>
      <c r="AI1007" s="87"/>
      <c r="AJ1007" s="1366">
        <f>ROUND(IF(AG1007="yes",AJ992*0.1,0),0)</f>
        <v>0</v>
      </c>
      <c r="AK1007" s="1367"/>
      <c r="AL1007" s="1367"/>
      <c r="AM1007" s="1367"/>
      <c r="AN1007" s="1367"/>
      <c r="AO1007" s="1367"/>
      <c r="AP1007" s="1367"/>
      <c r="AQ1007" s="1368"/>
      <c r="AR1007" s="68"/>
      <c r="AS1007" s="68"/>
      <c r="AT1007" s="68"/>
      <c r="AU1007" s="68"/>
      <c r="AV1007" s="68"/>
      <c r="AW1007" s="68"/>
      <c r="AX1007" s="68"/>
      <c r="BB1007" s="34"/>
    </row>
    <row r="1008" spans="1:55" ht="12.95" customHeight="1">
      <c r="A1008" s="14"/>
      <c r="B1008" s="73"/>
      <c r="C1008" s="74"/>
      <c r="D1008" s="1410" t="s">
        <v>1284</v>
      </c>
      <c r="E1008" s="1411"/>
      <c r="F1008" s="1411"/>
      <c r="G1008" s="1411"/>
      <c r="H1008" s="1411"/>
      <c r="I1008" s="1411"/>
      <c r="J1008" s="1411"/>
      <c r="K1008" s="1411"/>
      <c r="L1008" s="1411"/>
      <c r="M1008" s="1411"/>
      <c r="N1008" s="1411"/>
      <c r="O1008" s="1411"/>
      <c r="P1008" s="1411"/>
      <c r="Q1008" s="1411"/>
      <c r="R1008" s="1411"/>
      <c r="S1008" s="1411"/>
      <c r="T1008" s="1411"/>
      <c r="U1008" s="1411"/>
      <c r="V1008" s="1411"/>
      <c r="W1008" s="1411"/>
      <c r="X1008" s="1411"/>
      <c r="Y1008" s="1411"/>
      <c r="Z1008" s="1411"/>
      <c r="AA1008" s="1411"/>
      <c r="AB1008" s="1411"/>
      <c r="AC1008" s="1411"/>
      <c r="AD1008" s="1411"/>
      <c r="AE1008" s="1412"/>
      <c r="AF1008" s="73"/>
      <c r="AI1008" s="83"/>
      <c r="AJ1008" s="1369"/>
      <c r="AK1008" s="1370"/>
      <c r="AL1008" s="1370"/>
      <c r="AM1008" s="1370"/>
      <c r="AN1008" s="1370"/>
      <c r="AO1008" s="1370"/>
      <c r="AP1008" s="1370"/>
      <c r="AQ1008" s="1371"/>
      <c r="AR1008" s="68"/>
      <c r="AS1008" s="68"/>
      <c r="AT1008" s="68"/>
      <c r="AU1008" s="68"/>
      <c r="AV1008" s="68"/>
      <c r="AW1008" s="68"/>
      <c r="AX1008" s="68"/>
    </row>
    <row r="1009" spans="1:52" ht="12.95" customHeight="1">
      <c r="A1009" s="14"/>
      <c r="B1009" s="73"/>
      <c r="C1009" s="74"/>
      <c r="D1009" s="1410"/>
      <c r="E1009" s="1411"/>
      <c r="F1009" s="1411"/>
      <c r="G1009" s="1411"/>
      <c r="H1009" s="1411"/>
      <c r="I1009" s="1411"/>
      <c r="J1009" s="1411"/>
      <c r="K1009" s="1411"/>
      <c r="L1009" s="1411"/>
      <c r="M1009" s="1411"/>
      <c r="N1009" s="1411"/>
      <c r="O1009" s="1411"/>
      <c r="P1009" s="1411"/>
      <c r="Q1009" s="1411"/>
      <c r="R1009" s="1411"/>
      <c r="S1009" s="1411"/>
      <c r="T1009" s="1411"/>
      <c r="U1009" s="1411"/>
      <c r="V1009" s="1411"/>
      <c r="W1009" s="1411"/>
      <c r="X1009" s="1411"/>
      <c r="Y1009" s="1411"/>
      <c r="Z1009" s="1411"/>
      <c r="AA1009" s="1411"/>
      <c r="AB1009" s="1411"/>
      <c r="AC1009" s="1411"/>
      <c r="AD1009" s="1411"/>
      <c r="AE1009" s="1412"/>
      <c r="AF1009" s="73"/>
      <c r="AG1009" s="14"/>
      <c r="AH1009" s="14"/>
      <c r="AI1009" s="83"/>
      <c r="AJ1009" s="1369"/>
      <c r="AK1009" s="1370"/>
      <c r="AL1009" s="1370"/>
      <c r="AM1009" s="1370"/>
      <c r="AN1009" s="1370"/>
      <c r="AO1009" s="1370"/>
      <c r="AP1009" s="1370"/>
      <c r="AQ1009" s="1371"/>
      <c r="AR1009" s="68"/>
      <c r="AS1009" s="68"/>
      <c r="AT1009" s="68"/>
      <c r="AU1009" s="68"/>
      <c r="AV1009" s="68"/>
      <c r="AW1009" s="68"/>
      <c r="AX1009" s="68"/>
    </row>
    <row r="1010" spans="1:52" ht="12.95" customHeight="1">
      <c r="A1010" s="14"/>
      <c r="B1010" s="85"/>
      <c r="C1010" s="76"/>
      <c r="D1010" s="1538"/>
      <c r="E1010" s="1539"/>
      <c r="F1010" s="1539"/>
      <c r="G1010" s="1539"/>
      <c r="H1010" s="1539"/>
      <c r="I1010" s="1539"/>
      <c r="J1010" s="1539"/>
      <c r="K1010" s="1539"/>
      <c r="L1010" s="1539"/>
      <c r="M1010" s="1539"/>
      <c r="N1010" s="1539"/>
      <c r="O1010" s="1539"/>
      <c r="P1010" s="1539"/>
      <c r="Q1010" s="1539"/>
      <c r="R1010" s="1539"/>
      <c r="S1010" s="1539"/>
      <c r="T1010" s="1539"/>
      <c r="U1010" s="1539"/>
      <c r="V1010" s="1539"/>
      <c r="W1010" s="1539"/>
      <c r="X1010" s="1539"/>
      <c r="Y1010" s="1539"/>
      <c r="Z1010" s="1539"/>
      <c r="AA1010" s="1539"/>
      <c r="AB1010" s="1539"/>
      <c r="AC1010" s="1539"/>
      <c r="AD1010" s="1539"/>
      <c r="AE1010" s="1540"/>
      <c r="AF1010" s="77"/>
      <c r="AG1010" s="7"/>
      <c r="AH1010" s="7"/>
      <c r="AI1010" s="78"/>
      <c r="AJ1010" s="1372"/>
      <c r="AK1010" s="1373"/>
      <c r="AL1010" s="1373"/>
      <c r="AM1010" s="1373"/>
      <c r="AN1010" s="1373"/>
      <c r="AO1010" s="1373"/>
      <c r="AP1010" s="1373"/>
      <c r="AQ1010" s="1374"/>
      <c r="AR1010" s="68"/>
      <c r="AS1010" s="68"/>
      <c r="AT1010" s="68"/>
      <c r="AU1010" s="68"/>
      <c r="AV1010" s="68"/>
      <c r="AW1010" s="68"/>
      <c r="AX1010" s="68"/>
    </row>
    <row r="1011" spans="1:52" ht="12.95" customHeight="1">
      <c r="A1011" s="14"/>
      <c r="B1011" s="79"/>
      <c r="C1011" s="80" t="s">
        <v>211</v>
      </c>
      <c r="D1011" s="1347" t="s">
        <v>1286</v>
      </c>
      <c r="E1011" s="1348"/>
      <c r="F1011" s="1348"/>
      <c r="G1011" s="1348"/>
      <c r="H1011" s="1348"/>
      <c r="I1011" s="1348"/>
      <c r="J1011" s="1348"/>
      <c r="K1011" s="1348"/>
      <c r="L1011" s="1348"/>
      <c r="M1011" s="1348"/>
      <c r="N1011" s="1348"/>
      <c r="O1011" s="1348"/>
      <c r="P1011" s="1348"/>
      <c r="Q1011" s="1348"/>
      <c r="R1011" s="1348"/>
      <c r="S1011" s="1348"/>
      <c r="T1011" s="1348"/>
      <c r="U1011" s="1348"/>
      <c r="V1011" s="1348"/>
      <c r="W1011" s="1348"/>
      <c r="X1011" s="1348"/>
      <c r="Y1011" s="1348"/>
      <c r="Z1011" s="1348"/>
      <c r="AA1011" s="1348"/>
      <c r="AB1011" s="1348"/>
      <c r="AC1011" s="1348"/>
      <c r="AD1011" s="1348"/>
      <c r="AE1011" s="1349"/>
      <c r="AF1011" s="79"/>
      <c r="AG1011" s="1419" t="s">
        <v>669</v>
      </c>
      <c r="AH1011" s="1420"/>
      <c r="AI1011" s="87"/>
      <c r="AJ1011" s="1366">
        <f>ROUND(IF(AG1011="yes",AJ992*0.02,0),0)</f>
        <v>0</v>
      </c>
      <c r="AK1011" s="1367"/>
      <c r="AL1011" s="1367"/>
      <c r="AM1011" s="1367"/>
      <c r="AN1011" s="1367"/>
      <c r="AO1011" s="1367"/>
      <c r="AP1011" s="1367"/>
      <c r="AQ1011" s="1368"/>
      <c r="AR1011" s="68"/>
      <c r="AS1011" s="68"/>
      <c r="AT1011" s="68"/>
      <c r="AU1011" s="68"/>
      <c r="AV1011" s="68"/>
      <c r="AW1011" s="68"/>
      <c r="AX1011" s="68"/>
    </row>
    <row r="1012" spans="1:52" ht="14.25" customHeight="1">
      <c r="A1012" s="14"/>
      <c r="B1012" s="73"/>
      <c r="C1012" s="74"/>
      <c r="D1012" s="1538" t="s">
        <v>1287</v>
      </c>
      <c r="E1012" s="1539"/>
      <c r="F1012" s="1539"/>
      <c r="G1012" s="1539"/>
      <c r="H1012" s="1539"/>
      <c r="I1012" s="1539"/>
      <c r="J1012" s="1539"/>
      <c r="K1012" s="1539"/>
      <c r="L1012" s="1539"/>
      <c r="M1012" s="1539"/>
      <c r="N1012" s="1539"/>
      <c r="O1012" s="1539"/>
      <c r="P1012" s="1539"/>
      <c r="Q1012" s="1539"/>
      <c r="R1012" s="1539"/>
      <c r="S1012" s="1539"/>
      <c r="T1012" s="1539"/>
      <c r="U1012" s="1539"/>
      <c r="V1012" s="1539"/>
      <c r="W1012" s="1539"/>
      <c r="X1012" s="1539"/>
      <c r="Y1012" s="1539"/>
      <c r="Z1012" s="1539"/>
      <c r="AA1012" s="1539"/>
      <c r="AB1012" s="1539"/>
      <c r="AC1012" s="1539"/>
      <c r="AD1012" s="1539"/>
      <c r="AE1012" s="1540"/>
      <c r="AF1012" s="77"/>
      <c r="AG1012" s="7"/>
      <c r="AH1012" s="7"/>
      <c r="AI1012" s="78"/>
      <c r="AJ1012" s="1372"/>
      <c r="AK1012" s="1373"/>
      <c r="AL1012" s="1373"/>
      <c r="AM1012" s="1373"/>
      <c r="AN1012" s="1373"/>
      <c r="AO1012" s="1373"/>
      <c r="AP1012" s="1373"/>
      <c r="AQ1012" s="1374"/>
      <c r="AR1012" s="68"/>
      <c r="AS1012" s="68"/>
      <c r="AT1012" s="68"/>
      <c r="AU1012" s="68"/>
      <c r="AV1012" s="68"/>
      <c r="AW1012" s="68"/>
      <c r="AX1012" s="3" t="s">
        <v>1840</v>
      </c>
      <c r="AZ1012" s="3" t="s">
        <v>2606</v>
      </c>
    </row>
    <row r="1013" spans="1:52" ht="12.95" customHeight="1">
      <c r="A1013" s="14"/>
      <c r="B1013" s="79"/>
      <c r="C1013" s="80" t="s">
        <v>214</v>
      </c>
      <c r="D1013" s="1347" t="s">
        <v>1288</v>
      </c>
      <c r="E1013" s="1348"/>
      <c r="F1013" s="1348"/>
      <c r="G1013" s="1348"/>
      <c r="H1013" s="1348"/>
      <c r="I1013" s="1348"/>
      <c r="J1013" s="1348"/>
      <c r="K1013" s="1348"/>
      <c r="L1013" s="1348"/>
      <c r="M1013" s="1348"/>
      <c r="N1013" s="1348"/>
      <c r="O1013" s="1348"/>
      <c r="P1013" s="1348"/>
      <c r="Q1013" s="1348"/>
      <c r="R1013" s="1348"/>
      <c r="S1013" s="1348"/>
      <c r="T1013" s="1348"/>
      <c r="U1013" s="1348"/>
      <c r="V1013" s="1348"/>
      <c r="W1013" s="1348"/>
      <c r="X1013" s="1348"/>
      <c r="Y1013" s="1348"/>
      <c r="Z1013" s="1348"/>
      <c r="AA1013" s="1348"/>
      <c r="AB1013" s="1348"/>
      <c r="AC1013" s="1348"/>
      <c r="AD1013" s="1348"/>
      <c r="AE1013" s="1349"/>
      <c r="AF1013" s="79"/>
      <c r="AG1013" s="1419" t="s">
        <v>669</v>
      </c>
      <c r="AH1013" s="1420"/>
      <c r="AI1013" s="79"/>
      <c r="AJ1013" s="1366">
        <f>ROUND(IF(AG1013="yes",AJ992*0.02,0),0)</f>
        <v>0</v>
      </c>
      <c r="AK1013" s="1367"/>
      <c r="AL1013" s="1367"/>
      <c r="AM1013" s="1367"/>
      <c r="AN1013" s="1367"/>
      <c r="AO1013" s="1367"/>
      <c r="AP1013" s="1367"/>
      <c r="AQ1013" s="1368"/>
      <c r="AR1013" s="68"/>
      <c r="AS1013" s="68"/>
      <c r="AT1013" s="68"/>
      <c r="AU1013" s="68"/>
      <c r="AV1013" s="68"/>
      <c r="AW1013" s="68"/>
      <c r="AX1013" s="3">
        <v>1</v>
      </c>
      <c r="AY1013" s="200">
        <f>IF((_xlfn.XLOOKUP(AX1013,$C$1065:$C$1103,$A$1065:$A$1103,"",0,1))="Yes",AZ1013,0)</f>
        <v>0.2</v>
      </c>
      <c r="AZ1013" s="1255">
        <v>0.2</v>
      </c>
    </row>
    <row r="1014" spans="1:52" ht="12.95" customHeight="1">
      <c r="A1014" s="14"/>
      <c r="B1014" s="73"/>
      <c r="C1014" s="74"/>
      <c r="D1014" s="1410" t="s">
        <v>1289</v>
      </c>
      <c r="E1014" s="1411"/>
      <c r="F1014" s="1411"/>
      <c r="G1014" s="1411"/>
      <c r="H1014" s="1411"/>
      <c r="I1014" s="1411"/>
      <c r="J1014" s="1411"/>
      <c r="K1014" s="1411"/>
      <c r="L1014" s="1411"/>
      <c r="M1014" s="1411"/>
      <c r="N1014" s="1411"/>
      <c r="O1014" s="1411"/>
      <c r="P1014" s="1411"/>
      <c r="Q1014" s="1411"/>
      <c r="R1014" s="1411"/>
      <c r="S1014" s="1411"/>
      <c r="T1014" s="1411"/>
      <c r="U1014" s="1411"/>
      <c r="V1014" s="1411"/>
      <c r="W1014" s="1411"/>
      <c r="X1014" s="1411"/>
      <c r="Y1014" s="1411"/>
      <c r="Z1014" s="1411"/>
      <c r="AA1014" s="1411"/>
      <c r="AB1014" s="1411"/>
      <c r="AC1014" s="1411"/>
      <c r="AD1014" s="1411"/>
      <c r="AE1014" s="1412"/>
      <c r="AF1014" s="1440" t="str">
        <f>IF(AND(AG1013="yes",T212&lt;&gt;1),"The project may not be eligible for this boost","")</f>
        <v/>
      </c>
      <c r="AG1014" s="1441"/>
      <c r="AH1014" s="1441"/>
      <c r="AI1014" s="1442"/>
      <c r="AJ1014" s="1369"/>
      <c r="AK1014" s="1370"/>
      <c r="AL1014" s="1370"/>
      <c r="AM1014" s="1370"/>
      <c r="AN1014" s="1370"/>
      <c r="AO1014" s="1370"/>
      <c r="AP1014" s="1370"/>
      <c r="AQ1014" s="1371"/>
      <c r="AR1014" s="68"/>
      <c r="AS1014" s="68"/>
      <c r="AT1014" s="68"/>
      <c r="AU1014" s="68"/>
      <c r="AV1014" s="68"/>
      <c r="AW1014" s="68"/>
      <c r="AX1014" s="3">
        <v>2</v>
      </c>
      <c r="AY1014" s="200">
        <f t="shared" ref="AY1014:AY1023" si="53">IF((_xlfn.XLOOKUP(AX1014,$C$1065:$C$1103,$A$1065:$A$1103,"",0,1))="Yes",AZ1014,0)</f>
        <v>0</v>
      </c>
      <c r="AZ1014" s="1255">
        <v>0.15</v>
      </c>
    </row>
    <row r="1015" spans="1:52" ht="12.95" customHeight="1">
      <c r="A1015" s="14"/>
      <c r="B1015" s="75"/>
      <c r="C1015" s="76"/>
      <c r="D1015" s="1538"/>
      <c r="E1015" s="1539"/>
      <c r="F1015" s="1539"/>
      <c r="G1015" s="1539"/>
      <c r="H1015" s="1539"/>
      <c r="I1015" s="1539"/>
      <c r="J1015" s="1539"/>
      <c r="K1015" s="1539"/>
      <c r="L1015" s="1539"/>
      <c r="M1015" s="1539"/>
      <c r="N1015" s="1539"/>
      <c r="O1015" s="1539"/>
      <c r="P1015" s="1539"/>
      <c r="Q1015" s="1539"/>
      <c r="R1015" s="1539"/>
      <c r="S1015" s="1539"/>
      <c r="T1015" s="1539"/>
      <c r="U1015" s="1539"/>
      <c r="V1015" s="1539"/>
      <c r="W1015" s="1539"/>
      <c r="X1015" s="1539"/>
      <c r="Y1015" s="1539"/>
      <c r="Z1015" s="1539"/>
      <c r="AA1015" s="1539"/>
      <c r="AB1015" s="1539"/>
      <c r="AC1015" s="1539"/>
      <c r="AD1015" s="1539"/>
      <c r="AE1015" s="1540"/>
      <c r="AF1015" s="1443"/>
      <c r="AG1015" s="1444"/>
      <c r="AH1015" s="1444"/>
      <c r="AI1015" s="1445"/>
      <c r="AJ1015" s="1372"/>
      <c r="AK1015" s="1373"/>
      <c r="AL1015" s="1373"/>
      <c r="AM1015" s="1373"/>
      <c r="AN1015" s="1373"/>
      <c r="AO1015" s="1373"/>
      <c r="AP1015" s="1373"/>
      <c r="AQ1015" s="1374"/>
      <c r="AR1015" s="68"/>
      <c r="AS1015" s="68"/>
      <c r="AT1015" s="68"/>
      <c r="AU1015" s="68"/>
      <c r="AV1015" s="68"/>
      <c r="AW1015" s="68"/>
      <c r="AX1015" s="3">
        <v>3</v>
      </c>
      <c r="AY1015" s="200">
        <f t="shared" si="53"/>
        <v>0</v>
      </c>
      <c r="AZ1015" s="1255">
        <v>0.05</v>
      </c>
    </row>
    <row r="1016" spans="1:52" ht="12.95" customHeight="1">
      <c r="A1016" s="14"/>
      <c r="B1016" s="79"/>
      <c r="C1016" s="80" t="s">
        <v>217</v>
      </c>
      <c r="D1016" s="1535" t="s">
        <v>2235</v>
      </c>
      <c r="E1016" s="1536"/>
      <c r="F1016" s="1536"/>
      <c r="G1016" s="1536"/>
      <c r="H1016" s="1536"/>
      <c r="I1016" s="1536"/>
      <c r="J1016" s="1536"/>
      <c r="K1016" s="1536"/>
      <c r="L1016" s="1536"/>
      <c r="M1016" s="1536"/>
      <c r="N1016" s="1536"/>
      <c r="O1016" s="1536"/>
      <c r="P1016" s="1536"/>
      <c r="Q1016" s="1536"/>
      <c r="R1016" s="1536"/>
      <c r="S1016" s="1536"/>
      <c r="T1016" s="1536"/>
      <c r="U1016" s="1536"/>
      <c r="V1016" s="1536"/>
      <c r="W1016" s="1536"/>
      <c r="X1016" s="1536"/>
      <c r="Y1016" s="1536"/>
      <c r="Z1016" s="1536"/>
      <c r="AA1016" s="1536"/>
      <c r="AB1016" s="1536"/>
      <c r="AC1016" s="1536"/>
      <c r="AD1016" s="1536"/>
      <c r="AE1016" s="1537"/>
      <c r="AF1016" s="79"/>
      <c r="AG1016" s="1419" t="s">
        <v>669</v>
      </c>
      <c r="AH1016" s="1420"/>
      <c r="AI1016" s="87"/>
      <c r="AJ1016" s="1366">
        <f>IF(AG1016="yes",AJ992*AY1024,0)</f>
        <v>0</v>
      </c>
      <c r="AK1016" s="1367"/>
      <c r="AL1016" s="1367"/>
      <c r="AM1016" s="1367"/>
      <c r="AN1016" s="1367"/>
      <c r="AO1016" s="1367"/>
      <c r="AP1016" s="1367"/>
      <c r="AQ1016" s="1368"/>
      <c r="AR1016" s="68"/>
      <c r="AS1016" s="68"/>
      <c r="AT1016" s="68"/>
      <c r="AU1016" s="68"/>
      <c r="AV1016" s="68"/>
      <c r="AW1016" s="68"/>
      <c r="AX1016" s="3">
        <v>4</v>
      </c>
      <c r="AY1016" s="200">
        <f t="shared" si="53"/>
        <v>0</v>
      </c>
      <c r="AZ1016" s="1255">
        <v>0.02</v>
      </c>
    </row>
    <row r="1017" spans="1:52" ht="12.95" customHeight="1">
      <c r="A1017" s="14"/>
      <c r="B1017" s="73"/>
      <c r="C1017" s="74"/>
      <c r="D1017" s="1410" t="s">
        <v>1290</v>
      </c>
      <c r="E1017" s="1411"/>
      <c r="F1017" s="1411"/>
      <c r="G1017" s="1411"/>
      <c r="H1017" s="1411"/>
      <c r="I1017" s="1411"/>
      <c r="J1017" s="1411"/>
      <c r="K1017" s="1411"/>
      <c r="L1017" s="1411"/>
      <c r="M1017" s="1411"/>
      <c r="N1017" s="1411"/>
      <c r="O1017" s="1411"/>
      <c r="P1017" s="1411"/>
      <c r="Q1017" s="1411"/>
      <c r="R1017" s="1411"/>
      <c r="S1017" s="1411"/>
      <c r="T1017" s="1411"/>
      <c r="U1017" s="1411"/>
      <c r="V1017" s="1411"/>
      <c r="W1017" s="1411"/>
      <c r="X1017" s="1411"/>
      <c r="Y1017" s="1411"/>
      <c r="Z1017" s="1411"/>
      <c r="AA1017" s="1411"/>
      <c r="AB1017" s="1411"/>
      <c r="AC1017" s="1411"/>
      <c r="AD1017" s="1411"/>
      <c r="AE1017" s="1412"/>
      <c r="AF1017" s="1434" t="str">
        <f>IF(AND(AG1016="Yes",AY1024=0),AY1027,"")</f>
        <v/>
      </c>
      <c r="AG1017" s="1435"/>
      <c r="AH1017" s="1435"/>
      <c r="AI1017" s="1436"/>
      <c r="AJ1017" s="1369"/>
      <c r="AK1017" s="1370"/>
      <c r="AL1017" s="1370"/>
      <c r="AM1017" s="1370"/>
      <c r="AN1017" s="1370"/>
      <c r="AO1017" s="1370"/>
      <c r="AP1017" s="1370"/>
      <c r="AQ1017" s="1371"/>
      <c r="AR1017" s="68"/>
      <c r="AS1017" s="68"/>
      <c r="AT1017" s="68"/>
      <c r="AU1017" s="68"/>
      <c r="AV1017" s="68"/>
      <c r="AW1017" s="68"/>
      <c r="AX1017" s="3">
        <v>5</v>
      </c>
      <c r="AY1017" s="200">
        <f t="shared" si="53"/>
        <v>0</v>
      </c>
      <c r="AZ1017" s="1255">
        <v>0.04</v>
      </c>
    </row>
    <row r="1018" spans="1:52" ht="12.95" customHeight="1">
      <c r="A1018" s="14"/>
      <c r="B1018" s="73"/>
      <c r="C1018" s="74"/>
      <c r="D1018" s="1410"/>
      <c r="E1018" s="1411"/>
      <c r="F1018" s="1411"/>
      <c r="G1018" s="1411"/>
      <c r="H1018" s="1411"/>
      <c r="I1018" s="1411"/>
      <c r="J1018" s="1411"/>
      <c r="K1018" s="1411"/>
      <c r="L1018" s="1411"/>
      <c r="M1018" s="1411"/>
      <c r="N1018" s="1411"/>
      <c r="O1018" s="1411"/>
      <c r="P1018" s="1411"/>
      <c r="Q1018" s="1411"/>
      <c r="R1018" s="1411"/>
      <c r="S1018" s="1411"/>
      <c r="T1018" s="1411"/>
      <c r="U1018" s="1411"/>
      <c r="V1018" s="1411"/>
      <c r="W1018" s="1411"/>
      <c r="X1018" s="1411"/>
      <c r="Y1018" s="1411"/>
      <c r="Z1018" s="1411"/>
      <c r="AA1018" s="1411"/>
      <c r="AB1018" s="1411"/>
      <c r="AC1018" s="1411"/>
      <c r="AD1018" s="1411"/>
      <c r="AE1018" s="1412"/>
      <c r="AF1018" s="1434"/>
      <c r="AG1018" s="1435"/>
      <c r="AH1018" s="1435"/>
      <c r="AI1018" s="1436"/>
      <c r="AJ1018" s="1369"/>
      <c r="AK1018" s="1370"/>
      <c r="AL1018" s="1370"/>
      <c r="AM1018" s="1370"/>
      <c r="AN1018" s="1370"/>
      <c r="AO1018" s="1370"/>
      <c r="AP1018" s="1370"/>
      <c r="AQ1018" s="1371"/>
      <c r="AR1018" s="68"/>
      <c r="AS1018" s="68"/>
      <c r="AT1018" s="68"/>
      <c r="AU1018" s="68"/>
      <c r="AV1018" s="68"/>
      <c r="AW1018" s="68"/>
      <c r="AX1018" s="3">
        <v>6</v>
      </c>
      <c r="AY1018" s="200">
        <f t="shared" si="53"/>
        <v>0</v>
      </c>
      <c r="AZ1018" s="1255">
        <v>0.04</v>
      </c>
    </row>
    <row r="1019" spans="1:52" ht="12.95" customHeight="1">
      <c r="A1019" s="14"/>
      <c r="B1019" s="81"/>
      <c r="C1019" s="82"/>
      <c r="D1019" s="1538"/>
      <c r="E1019" s="1539"/>
      <c r="F1019" s="1539"/>
      <c r="G1019" s="1539"/>
      <c r="H1019" s="1539"/>
      <c r="I1019" s="1539"/>
      <c r="J1019" s="1539"/>
      <c r="K1019" s="1539"/>
      <c r="L1019" s="1539"/>
      <c r="M1019" s="1539"/>
      <c r="N1019" s="1539"/>
      <c r="O1019" s="1539"/>
      <c r="P1019" s="1539"/>
      <c r="Q1019" s="1539"/>
      <c r="R1019" s="1539"/>
      <c r="S1019" s="1539"/>
      <c r="T1019" s="1539"/>
      <c r="U1019" s="1539"/>
      <c r="V1019" s="1539"/>
      <c r="W1019" s="1539"/>
      <c r="X1019" s="1539"/>
      <c r="Y1019" s="1539"/>
      <c r="Z1019" s="1539"/>
      <c r="AA1019" s="1539"/>
      <c r="AB1019" s="1539"/>
      <c r="AC1019" s="1539"/>
      <c r="AD1019" s="1539"/>
      <c r="AE1019" s="1540"/>
      <c r="AF1019" s="1437"/>
      <c r="AG1019" s="1438"/>
      <c r="AH1019" s="1438"/>
      <c r="AI1019" s="1439"/>
      <c r="AJ1019" s="1372"/>
      <c r="AK1019" s="1373"/>
      <c r="AL1019" s="1373"/>
      <c r="AM1019" s="1373"/>
      <c r="AN1019" s="1373"/>
      <c r="AO1019" s="1373"/>
      <c r="AP1019" s="1373"/>
      <c r="AQ1019" s="1374"/>
      <c r="AR1019" s="68"/>
      <c r="AS1019" s="68"/>
      <c r="AT1019" s="68"/>
      <c r="AU1019" s="68"/>
      <c r="AV1019" s="68"/>
      <c r="AW1019" s="68"/>
      <c r="AX1019" s="3">
        <v>7</v>
      </c>
      <c r="AY1019" s="200">
        <f t="shared" si="53"/>
        <v>0</v>
      </c>
      <c r="AZ1019" s="1255">
        <v>0.01</v>
      </c>
    </row>
    <row r="1020" spans="1:52" ht="12.95" customHeight="1">
      <c r="A1020" s="14"/>
      <c r="B1020" s="79"/>
      <c r="C1020" s="80" t="s">
        <v>222</v>
      </c>
      <c r="D1020" s="1560" t="s">
        <v>1291</v>
      </c>
      <c r="E1020" s="1561"/>
      <c r="F1020" s="1561"/>
      <c r="G1020" s="1561"/>
      <c r="H1020" s="1561"/>
      <c r="I1020" s="1561"/>
      <c r="J1020" s="1561"/>
      <c r="K1020" s="1561"/>
      <c r="L1020" s="1561"/>
      <c r="M1020" s="1561"/>
      <c r="N1020" s="1561"/>
      <c r="O1020" s="1561"/>
      <c r="P1020" s="1561"/>
      <c r="Q1020" s="1561"/>
      <c r="R1020" s="1561"/>
      <c r="S1020" s="1561"/>
      <c r="T1020" s="1561"/>
      <c r="U1020" s="1561"/>
      <c r="V1020" s="1561"/>
      <c r="W1020" s="1561"/>
      <c r="X1020" s="1561"/>
      <c r="Y1020" s="1561"/>
      <c r="Z1020" s="1561"/>
      <c r="AA1020" s="1561"/>
      <c r="AB1020" s="1561"/>
      <c r="AC1020" s="1561"/>
      <c r="AD1020" s="1561"/>
      <c r="AE1020" s="1562"/>
      <c r="AF1020" s="79"/>
      <c r="AG1020" s="1419" t="s">
        <v>669</v>
      </c>
      <c r="AH1020" s="1420"/>
      <c r="AI1020" s="87"/>
      <c r="AJ1020" s="1366">
        <f>ROUND(IF(AND(AG1020="Yes",J1024&lt;&gt;"N/A",AF1023&lt;&gt;""),MIN(AF1023,(0.15*AJ992)),0),0)</f>
        <v>0</v>
      </c>
      <c r="AK1020" s="1367"/>
      <c r="AL1020" s="1367"/>
      <c r="AM1020" s="1367"/>
      <c r="AN1020" s="1367"/>
      <c r="AO1020" s="1367"/>
      <c r="AP1020" s="1367"/>
      <c r="AQ1020" s="1368"/>
      <c r="AR1020" s="68"/>
      <c r="AS1020" s="68"/>
      <c r="AT1020" s="68"/>
      <c r="AU1020" s="68"/>
      <c r="AV1020" s="68"/>
      <c r="AW1020" s="68"/>
      <c r="AX1020" s="3">
        <v>8</v>
      </c>
      <c r="AY1020" s="200">
        <f t="shared" si="53"/>
        <v>0</v>
      </c>
      <c r="AZ1020" s="1255">
        <v>0.01</v>
      </c>
    </row>
    <row r="1021" spans="1:52" ht="12.95" customHeight="1">
      <c r="A1021" s="14"/>
      <c r="B1021" s="81"/>
      <c r="C1021" s="84"/>
      <c r="D1021" s="1563"/>
      <c r="E1021" s="1564"/>
      <c r="F1021" s="1564"/>
      <c r="G1021" s="1564"/>
      <c r="H1021" s="1564"/>
      <c r="I1021" s="1564"/>
      <c r="J1021" s="1564"/>
      <c r="K1021" s="1564"/>
      <c r="L1021" s="1564"/>
      <c r="M1021" s="1564"/>
      <c r="N1021" s="1564"/>
      <c r="O1021" s="1564"/>
      <c r="P1021" s="1564"/>
      <c r="Q1021" s="1564"/>
      <c r="R1021" s="1564"/>
      <c r="S1021" s="1564"/>
      <c r="T1021" s="1564"/>
      <c r="U1021" s="1564"/>
      <c r="V1021" s="1564"/>
      <c r="W1021" s="1564"/>
      <c r="X1021" s="1564"/>
      <c r="Y1021" s="1564"/>
      <c r="Z1021" s="1564"/>
      <c r="AA1021" s="1564"/>
      <c r="AB1021" s="1564"/>
      <c r="AC1021" s="1564"/>
      <c r="AD1021" s="1564"/>
      <c r="AE1021" s="1565"/>
      <c r="AF1021" s="1541" t="str">
        <f>IF(AG1020="yes","Please Select Type and Enter Amount:","")</f>
        <v/>
      </c>
      <c r="AG1021" s="1542"/>
      <c r="AH1021" s="1542"/>
      <c r="AI1021" s="1543"/>
      <c r="AJ1021" s="1369"/>
      <c r="AK1021" s="1370"/>
      <c r="AL1021" s="1370"/>
      <c r="AM1021" s="1370"/>
      <c r="AN1021" s="1370"/>
      <c r="AO1021" s="1370"/>
      <c r="AP1021" s="1370"/>
      <c r="AQ1021" s="1371"/>
      <c r="AR1021" s="68"/>
      <c r="AS1021" s="68"/>
      <c r="AT1021" s="68"/>
      <c r="AU1021" s="68"/>
      <c r="AV1021" s="68"/>
      <c r="AW1021" s="68"/>
      <c r="AX1021" s="3">
        <v>9</v>
      </c>
      <c r="AY1021" s="200">
        <f t="shared" si="53"/>
        <v>0</v>
      </c>
      <c r="AZ1021" s="1255">
        <v>0.01</v>
      </c>
    </row>
    <row r="1022" spans="1:52" ht="12.95" customHeight="1">
      <c r="A1022" s="14"/>
      <c r="B1022" s="81"/>
      <c r="C1022" s="84"/>
      <c r="D1022" s="1410" t="s">
        <v>1292</v>
      </c>
      <c r="E1022" s="1411"/>
      <c r="F1022" s="1411"/>
      <c r="G1022" s="1411"/>
      <c r="H1022" s="1411"/>
      <c r="I1022" s="1411"/>
      <c r="J1022" s="1411"/>
      <c r="K1022" s="1411"/>
      <c r="L1022" s="1411"/>
      <c r="M1022" s="1411"/>
      <c r="N1022" s="1411"/>
      <c r="O1022" s="1411"/>
      <c r="P1022" s="1411"/>
      <c r="Q1022" s="1411"/>
      <c r="R1022" s="1411"/>
      <c r="S1022" s="1411"/>
      <c r="T1022" s="1411"/>
      <c r="U1022" s="1411"/>
      <c r="V1022" s="1411"/>
      <c r="W1022" s="1411"/>
      <c r="X1022" s="1411"/>
      <c r="Y1022" s="1411"/>
      <c r="Z1022" s="1411"/>
      <c r="AA1022" s="1411"/>
      <c r="AB1022" s="1411"/>
      <c r="AC1022" s="1411"/>
      <c r="AD1022" s="1411"/>
      <c r="AE1022" s="1412"/>
      <c r="AF1022" s="1541"/>
      <c r="AG1022" s="1542"/>
      <c r="AH1022" s="1542"/>
      <c r="AI1022" s="1543"/>
      <c r="AJ1022" s="1369"/>
      <c r="AK1022" s="1370"/>
      <c r="AL1022" s="1370"/>
      <c r="AM1022" s="1370"/>
      <c r="AN1022" s="1370"/>
      <c r="AO1022" s="1370"/>
      <c r="AP1022" s="1370"/>
      <c r="AQ1022" s="1371"/>
      <c r="AR1022" s="68"/>
      <c r="AS1022" s="68"/>
      <c r="AT1022" s="68"/>
      <c r="AU1022" s="68"/>
      <c r="AV1022" s="68"/>
      <c r="AW1022" s="68"/>
      <c r="AX1022" s="3">
        <v>10</v>
      </c>
      <c r="AY1022" s="200">
        <f t="shared" si="53"/>
        <v>0</v>
      </c>
      <c r="AZ1022" s="1255">
        <v>0.02</v>
      </c>
    </row>
    <row r="1023" spans="1:52" ht="12.95" customHeight="1">
      <c r="A1023" s="14"/>
      <c r="B1023" s="81"/>
      <c r="C1023" s="84"/>
      <c r="D1023" s="1410"/>
      <c r="E1023" s="1411"/>
      <c r="F1023" s="1411"/>
      <c r="G1023" s="1411"/>
      <c r="H1023" s="1411"/>
      <c r="I1023" s="1411"/>
      <c r="J1023" s="1411"/>
      <c r="K1023" s="1411"/>
      <c r="L1023" s="1411"/>
      <c r="M1023" s="1411"/>
      <c r="N1023" s="1411"/>
      <c r="O1023" s="1411"/>
      <c r="P1023" s="1411"/>
      <c r="Q1023" s="1411"/>
      <c r="R1023" s="1411"/>
      <c r="S1023" s="1411"/>
      <c r="T1023" s="1411"/>
      <c r="U1023" s="1411"/>
      <c r="V1023" s="1411"/>
      <c r="W1023" s="1411"/>
      <c r="X1023" s="1411"/>
      <c r="Y1023" s="1411"/>
      <c r="Z1023" s="1411"/>
      <c r="AA1023" s="1411"/>
      <c r="AB1023" s="1411"/>
      <c r="AC1023" s="1411"/>
      <c r="AD1023" s="1411"/>
      <c r="AE1023" s="1412"/>
      <c r="AF1023" s="1343"/>
      <c r="AG1023" s="1343"/>
      <c r="AH1023" s="1343"/>
      <c r="AI1023" s="1343"/>
      <c r="AJ1023" s="1369"/>
      <c r="AK1023" s="1370"/>
      <c r="AL1023" s="1370"/>
      <c r="AM1023" s="1370"/>
      <c r="AN1023" s="1370"/>
      <c r="AO1023" s="1370"/>
      <c r="AP1023" s="1370"/>
      <c r="AQ1023" s="1371"/>
      <c r="AR1023" s="68"/>
      <c r="AS1023" s="68"/>
      <c r="AT1023" s="68"/>
      <c r="AU1023" s="68"/>
      <c r="AV1023" s="68"/>
      <c r="AW1023" s="68"/>
      <c r="AX1023" s="3">
        <v>11</v>
      </c>
      <c r="AY1023" s="200">
        <f t="shared" si="53"/>
        <v>0</v>
      </c>
      <c r="AZ1023" s="1255">
        <v>0.02</v>
      </c>
    </row>
    <row r="1024" spans="1:52" ht="12.95" customHeight="1">
      <c r="A1024" s="14"/>
      <c r="B1024" s="81"/>
      <c r="C1024" s="84"/>
      <c r="D1024" s="526" t="s">
        <v>358</v>
      </c>
      <c r="E1024" s="90"/>
      <c r="F1024" s="90"/>
      <c r="G1024" s="104"/>
      <c r="H1024" s="104"/>
      <c r="I1024" s="49"/>
      <c r="J1024" s="1375" t="s">
        <v>591</v>
      </c>
      <c r="K1024" s="1376"/>
      <c r="L1024" s="1376"/>
      <c r="M1024" s="1376"/>
      <c r="N1024" s="1376"/>
      <c r="O1024" s="1376"/>
      <c r="P1024" s="1376"/>
      <c r="Q1024" s="1376"/>
      <c r="R1024" s="1376"/>
      <c r="S1024" s="1376"/>
      <c r="T1024" s="1376"/>
      <c r="U1024" s="1376"/>
      <c r="V1024" s="1376"/>
      <c r="W1024" s="1376"/>
      <c r="X1024" s="1376"/>
      <c r="Y1024" s="1376"/>
      <c r="Z1024" s="1376"/>
      <c r="AA1024" s="1376"/>
      <c r="AB1024" s="1376"/>
      <c r="AC1024" s="1376"/>
      <c r="AD1024" s="1376"/>
      <c r="AE1024" s="1377"/>
      <c r="AF1024" s="1343"/>
      <c r="AG1024" s="1343"/>
      <c r="AH1024" s="1343"/>
      <c r="AI1024" s="1343"/>
      <c r="AJ1024" s="1372"/>
      <c r="AK1024" s="1373"/>
      <c r="AL1024" s="1373"/>
      <c r="AM1024" s="1373"/>
      <c r="AN1024" s="1373"/>
      <c r="AO1024" s="1373"/>
      <c r="AP1024" s="1373"/>
      <c r="AQ1024" s="1374"/>
      <c r="AR1024" s="68"/>
      <c r="AS1024" s="68"/>
      <c r="AT1024" s="68"/>
      <c r="AU1024" s="68"/>
      <c r="AV1024" s="68"/>
      <c r="AW1024" s="68"/>
      <c r="AX1024" s="1032" t="s">
        <v>2605</v>
      </c>
      <c r="AY1024" s="201">
        <f>IF(SUM(AY1015:AY1023)&lt;=0.2,SUM(AY1015:AY1023),0.2)</f>
        <v>0</v>
      </c>
    </row>
    <row r="1025" spans="1:57" ht="12.95" customHeight="1">
      <c r="A1025" s="14"/>
      <c r="B1025" s="79"/>
      <c r="C1025" s="80" t="s">
        <v>228</v>
      </c>
      <c r="D1025" s="1347" t="s">
        <v>1293</v>
      </c>
      <c r="E1025" s="1348"/>
      <c r="F1025" s="1348"/>
      <c r="G1025" s="1348"/>
      <c r="H1025" s="1348"/>
      <c r="I1025" s="1348"/>
      <c r="J1025" s="1348"/>
      <c r="K1025" s="1348"/>
      <c r="L1025" s="1348"/>
      <c r="M1025" s="1348"/>
      <c r="N1025" s="1348"/>
      <c r="O1025" s="1348"/>
      <c r="P1025" s="1348"/>
      <c r="Q1025" s="1348"/>
      <c r="R1025" s="1348"/>
      <c r="S1025" s="1348"/>
      <c r="T1025" s="1348"/>
      <c r="U1025" s="1348"/>
      <c r="V1025" s="1348"/>
      <c r="W1025" s="1348"/>
      <c r="X1025" s="1348"/>
      <c r="Y1025" s="1348"/>
      <c r="Z1025" s="1348"/>
      <c r="AA1025" s="1348"/>
      <c r="AB1025" s="1348"/>
      <c r="AC1025" s="1348"/>
      <c r="AD1025" s="1348"/>
      <c r="AE1025" s="1349"/>
      <c r="AF1025" s="79"/>
      <c r="AG1025" s="1419" t="s">
        <v>669</v>
      </c>
      <c r="AH1025" s="1420"/>
      <c r="AI1025" s="87"/>
      <c r="AJ1025" s="1366">
        <f>ROUND(IF(AG1025="Yes",AF1027,0),0)</f>
        <v>0</v>
      </c>
      <c r="AK1025" s="1367"/>
      <c r="AL1025" s="1367"/>
      <c r="AM1025" s="1367"/>
      <c r="AN1025" s="1367"/>
      <c r="AO1025" s="1367"/>
      <c r="AP1025" s="1367"/>
      <c r="AQ1025" s="1368"/>
      <c r="AR1025" s="68"/>
      <c r="AS1025" s="68"/>
      <c r="AT1025" s="68"/>
      <c r="AU1025" s="68"/>
      <c r="AV1025" s="68"/>
      <c r="AW1025" s="68"/>
      <c r="AX1025" s="68"/>
      <c r="AY1025" s="68"/>
    </row>
    <row r="1026" spans="1:57" ht="12.95" customHeight="1">
      <c r="A1026" s="14"/>
      <c r="B1026" s="73"/>
      <c r="C1026" s="74"/>
      <c r="D1026" s="1410" t="s">
        <v>1689</v>
      </c>
      <c r="E1026" s="1411"/>
      <c r="F1026" s="1411"/>
      <c r="G1026" s="1411"/>
      <c r="H1026" s="1411"/>
      <c r="I1026" s="1411"/>
      <c r="J1026" s="1411"/>
      <c r="K1026" s="1411"/>
      <c r="L1026" s="1411"/>
      <c r="M1026" s="1411"/>
      <c r="N1026" s="1411"/>
      <c r="O1026" s="1411"/>
      <c r="P1026" s="1411"/>
      <c r="Q1026" s="1411"/>
      <c r="R1026" s="1411"/>
      <c r="S1026" s="1411"/>
      <c r="T1026" s="1411"/>
      <c r="U1026" s="1411"/>
      <c r="V1026" s="1411"/>
      <c r="W1026" s="1411"/>
      <c r="X1026" s="1411"/>
      <c r="Y1026" s="1411"/>
      <c r="Z1026" s="1411"/>
      <c r="AA1026" s="1411"/>
      <c r="AB1026" s="1411"/>
      <c r="AC1026" s="1411"/>
      <c r="AD1026" s="1411"/>
      <c r="AE1026" s="1412"/>
      <c r="AF1026" s="1566" t="str">
        <f>IF(AG1025="yes","Enter Amount:","")</f>
        <v/>
      </c>
      <c r="AG1026" s="1567"/>
      <c r="AH1026" s="1567"/>
      <c r="AI1026" s="1568"/>
      <c r="AJ1026" s="1369"/>
      <c r="AK1026" s="1370"/>
      <c r="AL1026" s="1370"/>
      <c r="AM1026" s="1370"/>
      <c r="AN1026" s="1370"/>
      <c r="AO1026" s="1370"/>
      <c r="AP1026" s="1370"/>
      <c r="AQ1026" s="1371"/>
      <c r="AR1026" s="68"/>
      <c r="AS1026" s="68"/>
      <c r="AT1026" s="68"/>
      <c r="AU1026" s="68"/>
      <c r="AV1026" s="68"/>
      <c r="AW1026" s="68"/>
      <c r="AX1026" s="68"/>
      <c r="AY1026" s="68"/>
    </row>
    <row r="1027" spans="1:57" ht="12.95" customHeight="1">
      <c r="A1027" s="14"/>
      <c r="B1027" s="73"/>
      <c r="C1027" s="74"/>
      <c r="D1027" s="1410"/>
      <c r="E1027" s="1411"/>
      <c r="F1027" s="1411"/>
      <c r="G1027" s="1411"/>
      <c r="H1027" s="1411"/>
      <c r="I1027" s="1411"/>
      <c r="J1027" s="1411"/>
      <c r="K1027" s="1411"/>
      <c r="L1027" s="1411"/>
      <c r="M1027" s="1411"/>
      <c r="N1027" s="1411"/>
      <c r="O1027" s="1411"/>
      <c r="P1027" s="1411"/>
      <c r="Q1027" s="1411"/>
      <c r="R1027" s="1411"/>
      <c r="S1027" s="1411"/>
      <c r="T1027" s="1411"/>
      <c r="U1027" s="1411"/>
      <c r="V1027" s="1411"/>
      <c r="W1027" s="1411"/>
      <c r="X1027" s="1411"/>
      <c r="Y1027" s="1411"/>
      <c r="Z1027" s="1411"/>
      <c r="AA1027" s="1411"/>
      <c r="AB1027" s="1411"/>
      <c r="AC1027" s="1411"/>
      <c r="AD1027" s="1411"/>
      <c r="AE1027" s="1412"/>
      <c r="AF1027" s="1343"/>
      <c r="AG1027" s="1343"/>
      <c r="AH1027" s="1343"/>
      <c r="AI1027" s="1343"/>
      <c r="AJ1027" s="1369"/>
      <c r="AK1027" s="1370"/>
      <c r="AL1027" s="1370"/>
      <c r="AM1027" s="1370"/>
      <c r="AN1027" s="1370"/>
      <c r="AO1027" s="1370"/>
      <c r="AP1027" s="1370"/>
      <c r="AQ1027" s="1371"/>
      <c r="AR1027" s="68"/>
      <c r="AS1027" s="68"/>
      <c r="AT1027" s="68"/>
      <c r="AU1027" s="68"/>
      <c r="AV1027" s="68"/>
      <c r="AW1027" s="68"/>
      <c r="AX1027" s="68"/>
      <c r="AY1027" s="14" t="str">
        <f>"Select items beginning on row #"&amp;TEXT(ROW(A1061),"#")&amp;" to claim this boost"</f>
        <v>Select items beginning on row #1061 to claim this boost</v>
      </c>
    </row>
    <row r="1028" spans="1:57" ht="12.95" customHeight="1">
      <c r="A1028" s="14"/>
      <c r="B1028" s="85"/>
      <c r="C1028" s="84"/>
      <c r="D1028" s="1538"/>
      <c r="E1028" s="1539"/>
      <c r="F1028" s="1539"/>
      <c r="G1028" s="1539"/>
      <c r="H1028" s="1539"/>
      <c r="I1028" s="1539"/>
      <c r="J1028" s="1539"/>
      <c r="K1028" s="1539"/>
      <c r="L1028" s="1539"/>
      <c r="M1028" s="1539"/>
      <c r="N1028" s="1539"/>
      <c r="O1028" s="1539"/>
      <c r="P1028" s="1539"/>
      <c r="Q1028" s="1539"/>
      <c r="R1028" s="1539"/>
      <c r="S1028" s="1539"/>
      <c r="T1028" s="1539"/>
      <c r="U1028" s="1539"/>
      <c r="V1028" s="1539"/>
      <c r="W1028" s="1539"/>
      <c r="X1028" s="1539"/>
      <c r="Y1028" s="1539"/>
      <c r="Z1028" s="1539"/>
      <c r="AA1028" s="1539"/>
      <c r="AB1028" s="1539"/>
      <c r="AC1028" s="1539"/>
      <c r="AD1028" s="1539"/>
      <c r="AE1028" s="1540"/>
      <c r="AF1028" s="1343"/>
      <c r="AG1028" s="1343"/>
      <c r="AH1028" s="1343"/>
      <c r="AI1028" s="1343"/>
      <c r="AJ1028" s="1372"/>
      <c r="AK1028" s="1373"/>
      <c r="AL1028" s="1373"/>
      <c r="AM1028" s="1373"/>
      <c r="AN1028" s="1373"/>
      <c r="AO1028" s="1373"/>
      <c r="AP1028" s="1373"/>
      <c r="AQ1028" s="1374"/>
      <c r="AR1028" s="68"/>
      <c r="AS1028" s="68"/>
      <c r="AT1028" s="68"/>
      <c r="AU1028" s="68"/>
      <c r="AV1028" s="68"/>
      <c r="AW1028" s="68"/>
      <c r="AX1028" s="68"/>
      <c r="AY1028" s="68"/>
    </row>
    <row r="1029" spans="1:57" ht="12.95" customHeight="1">
      <c r="A1029" s="14"/>
      <c r="B1029" s="79"/>
      <c r="C1029" s="80" t="s">
        <v>233</v>
      </c>
      <c r="D1029" s="1535" t="s">
        <v>1294</v>
      </c>
      <c r="E1029" s="1536"/>
      <c r="F1029" s="1536"/>
      <c r="G1029" s="1536"/>
      <c r="H1029" s="1536"/>
      <c r="I1029" s="1536"/>
      <c r="J1029" s="1536"/>
      <c r="K1029" s="1536"/>
      <c r="L1029" s="1536"/>
      <c r="M1029" s="1536"/>
      <c r="N1029" s="1536"/>
      <c r="O1029" s="1536"/>
      <c r="P1029" s="1536"/>
      <c r="Q1029" s="1536"/>
      <c r="R1029" s="1536"/>
      <c r="S1029" s="1536"/>
      <c r="T1029" s="1536"/>
      <c r="U1029" s="1536"/>
      <c r="V1029" s="1536"/>
      <c r="W1029" s="1536"/>
      <c r="X1029" s="1536"/>
      <c r="Y1029" s="1536"/>
      <c r="Z1029" s="1536"/>
      <c r="AA1029" s="1536"/>
      <c r="AB1029" s="1536"/>
      <c r="AC1029" s="1536"/>
      <c r="AD1029" s="1536"/>
      <c r="AE1029" s="1537"/>
      <c r="AF1029" s="79"/>
      <c r="AG1029" s="1419" t="s">
        <v>669</v>
      </c>
      <c r="AH1029" s="1420"/>
      <c r="AI1029" s="87"/>
      <c r="AJ1029" s="1366">
        <f>ROUND(IF(AG1029="yes",(AJ992*0.1),0),0)</f>
        <v>0</v>
      </c>
      <c r="AK1029" s="1367"/>
      <c r="AL1029" s="1367"/>
      <c r="AM1029" s="1367"/>
      <c r="AN1029" s="1367"/>
      <c r="AO1029" s="1367"/>
      <c r="AP1029" s="1367"/>
      <c r="AQ1029" s="1368"/>
      <c r="AR1029" s="68"/>
      <c r="AS1029" s="68"/>
      <c r="AT1029" s="68"/>
      <c r="AU1029" s="68"/>
      <c r="AV1029" s="68"/>
      <c r="AW1029" s="68"/>
      <c r="AX1029" s="68"/>
      <c r="AY1029" s="68"/>
    </row>
    <row r="1030" spans="1:57" ht="12.95" customHeight="1">
      <c r="A1030" s="14"/>
      <c r="B1030" s="73"/>
      <c r="C1030" s="74"/>
      <c r="D1030" s="1410" t="s">
        <v>1295</v>
      </c>
      <c r="E1030" s="1411"/>
      <c r="F1030" s="1411"/>
      <c r="G1030" s="1411"/>
      <c r="H1030" s="1411"/>
      <c r="I1030" s="1411"/>
      <c r="J1030" s="1411"/>
      <c r="K1030" s="1411"/>
      <c r="L1030" s="1411"/>
      <c r="M1030" s="1411"/>
      <c r="N1030" s="1411"/>
      <c r="O1030" s="1411"/>
      <c r="P1030" s="1411"/>
      <c r="Q1030" s="1411"/>
      <c r="R1030" s="1411"/>
      <c r="S1030" s="1411"/>
      <c r="T1030" s="1411"/>
      <c r="U1030" s="1411"/>
      <c r="V1030" s="1411"/>
      <c r="W1030" s="1411"/>
      <c r="X1030" s="1411"/>
      <c r="Y1030" s="1411"/>
      <c r="Z1030" s="1411"/>
      <c r="AA1030" s="1411"/>
      <c r="AB1030" s="1411"/>
      <c r="AC1030" s="1411"/>
      <c r="AD1030" s="1411"/>
      <c r="AE1030" s="1412"/>
      <c r="AF1030" s="73"/>
      <c r="AG1030" s="14"/>
      <c r="AH1030" s="14"/>
      <c r="AI1030" s="83"/>
      <c r="AJ1030" s="1369"/>
      <c r="AK1030" s="1370"/>
      <c r="AL1030" s="1370"/>
      <c r="AM1030" s="1370"/>
      <c r="AN1030" s="1370"/>
      <c r="AO1030" s="1370"/>
      <c r="AP1030" s="1370"/>
      <c r="AQ1030" s="1371"/>
      <c r="AR1030" s="68"/>
      <c r="AS1030" s="68"/>
      <c r="AT1030" s="68"/>
      <c r="AU1030" s="68"/>
      <c r="AV1030" s="68"/>
      <c r="AW1030" s="68"/>
      <c r="AX1030" s="68"/>
      <c r="AY1030" s="68"/>
    </row>
    <row r="1031" spans="1:57" ht="12.95" customHeight="1">
      <c r="A1031" s="14"/>
      <c r="B1031" s="77"/>
      <c r="C1031" s="74"/>
      <c r="D1031" s="1538"/>
      <c r="E1031" s="1539"/>
      <c r="F1031" s="1539"/>
      <c r="G1031" s="1539"/>
      <c r="H1031" s="1539"/>
      <c r="I1031" s="1539"/>
      <c r="J1031" s="1539"/>
      <c r="K1031" s="1539"/>
      <c r="L1031" s="1539"/>
      <c r="M1031" s="1539"/>
      <c r="N1031" s="1539"/>
      <c r="O1031" s="1539"/>
      <c r="P1031" s="1539"/>
      <c r="Q1031" s="1539"/>
      <c r="R1031" s="1539"/>
      <c r="S1031" s="1539"/>
      <c r="T1031" s="1539"/>
      <c r="U1031" s="1539"/>
      <c r="V1031" s="1539"/>
      <c r="W1031" s="1539"/>
      <c r="X1031" s="1539"/>
      <c r="Y1031" s="1539"/>
      <c r="Z1031" s="1539"/>
      <c r="AA1031" s="1539"/>
      <c r="AB1031" s="1539"/>
      <c r="AC1031" s="1539"/>
      <c r="AD1031" s="1539"/>
      <c r="AE1031" s="1540"/>
      <c r="AF1031" s="73"/>
      <c r="AG1031" s="14"/>
      <c r="AH1031" s="14"/>
      <c r="AI1031" s="83"/>
      <c r="AJ1031" s="1372"/>
      <c r="AK1031" s="1373"/>
      <c r="AL1031" s="1373"/>
      <c r="AM1031" s="1373"/>
      <c r="AN1031" s="1373"/>
      <c r="AO1031" s="1373"/>
      <c r="AP1031" s="1373"/>
      <c r="AQ1031" s="1374"/>
      <c r="AR1031" s="68"/>
      <c r="AS1031" s="68"/>
      <c r="AT1031" s="68"/>
      <c r="AU1031" s="68"/>
      <c r="AV1031" s="68"/>
      <c r="AW1031" s="68"/>
      <c r="AX1031" s="68"/>
      <c r="AY1031" s="68"/>
    </row>
    <row r="1032" spans="1:57" ht="12.95" customHeight="1">
      <c r="A1032" s="14"/>
      <c r="B1032" s="73"/>
      <c r="C1032" s="339" t="s">
        <v>687</v>
      </c>
      <c r="D1032" s="1347" t="s">
        <v>1685</v>
      </c>
      <c r="E1032" s="1348"/>
      <c r="F1032" s="1348"/>
      <c r="G1032" s="1348"/>
      <c r="H1032" s="1348"/>
      <c r="I1032" s="1348"/>
      <c r="J1032" s="1348"/>
      <c r="K1032" s="1348"/>
      <c r="L1032" s="1348"/>
      <c r="M1032" s="1348"/>
      <c r="N1032" s="1348"/>
      <c r="O1032" s="1348"/>
      <c r="P1032" s="1348"/>
      <c r="Q1032" s="1348"/>
      <c r="R1032" s="1348"/>
      <c r="S1032" s="1348"/>
      <c r="T1032" s="1348"/>
      <c r="U1032" s="1348"/>
      <c r="V1032" s="1348"/>
      <c r="W1032" s="1348"/>
      <c r="X1032" s="1348"/>
      <c r="Y1032" s="1348"/>
      <c r="Z1032" s="1348"/>
      <c r="AA1032" s="1348"/>
      <c r="AB1032" s="1348"/>
      <c r="AC1032" s="1348"/>
      <c r="AD1032" s="1348"/>
      <c r="AE1032" s="1349"/>
      <c r="AF1032" s="79"/>
      <c r="AG1032" s="1419" t="s">
        <v>669</v>
      </c>
      <c r="AH1032" s="1420"/>
      <c r="AI1032" s="87"/>
      <c r="AJ1032" s="1366">
        <f>ROUND(IF(AG1032="yes",(AJ992*0.15),0),0)</f>
        <v>0</v>
      </c>
      <c r="AK1032" s="1367"/>
      <c r="AL1032" s="1367"/>
      <c r="AM1032" s="1367"/>
      <c r="AN1032" s="1367"/>
      <c r="AO1032" s="1367"/>
      <c r="AP1032" s="1367"/>
      <c r="AQ1032" s="1368"/>
      <c r="AR1032" s="68"/>
      <c r="AS1032" s="68"/>
      <c r="AT1032" s="68"/>
      <c r="AU1032" s="68"/>
      <c r="AV1032" s="68"/>
      <c r="AW1032" s="68"/>
      <c r="AX1032" s="68"/>
      <c r="AY1032" s="68"/>
    </row>
    <row r="1033" spans="1:57" ht="12.95" customHeight="1">
      <c r="A1033" s="14"/>
      <c r="B1033" s="73"/>
      <c r="C1033" s="74"/>
      <c r="D1033" s="1555" t="s">
        <v>1686</v>
      </c>
      <c r="E1033" s="1268"/>
      <c r="F1033" s="1268"/>
      <c r="G1033" s="1268"/>
      <c r="H1033" s="1268"/>
      <c r="I1033" s="1268"/>
      <c r="J1033" s="1268"/>
      <c r="K1033" s="1268"/>
      <c r="L1033" s="1268"/>
      <c r="M1033" s="1268"/>
      <c r="N1033" s="1268"/>
      <c r="O1033" s="1268"/>
      <c r="P1033" s="1268"/>
      <c r="Q1033" s="1268"/>
      <c r="R1033" s="1268"/>
      <c r="S1033" s="1268"/>
      <c r="T1033" s="1268"/>
      <c r="U1033" s="1268"/>
      <c r="V1033" s="1268"/>
      <c r="W1033" s="1268"/>
      <c r="X1033" s="1268"/>
      <c r="Y1033" s="1268"/>
      <c r="Z1033" s="1268"/>
      <c r="AA1033" s="1268"/>
      <c r="AB1033" s="1268"/>
      <c r="AC1033" s="1268"/>
      <c r="AD1033" s="1268"/>
      <c r="AE1033" s="1556"/>
      <c r="AF1033" s="915"/>
      <c r="AG1033" s="916"/>
      <c r="AH1033" s="916"/>
      <c r="AI1033" s="917"/>
      <c r="AJ1033" s="1369"/>
      <c r="AK1033" s="1370"/>
      <c r="AL1033" s="1370"/>
      <c r="AM1033" s="1370"/>
      <c r="AN1033" s="1370"/>
      <c r="AO1033" s="1370"/>
      <c r="AP1033" s="1370"/>
      <c r="AQ1033" s="1371"/>
      <c r="AR1033" s="68"/>
      <c r="AS1033" s="68"/>
      <c r="AT1033" s="68"/>
      <c r="AU1033" s="68"/>
      <c r="AV1033" s="68"/>
      <c r="AW1033" s="68"/>
      <c r="AX1033" s="68"/>
      <c r="AY1033" s="68"/>
    </row>
    <row r="1034" spans="1:57" ht="12.95" customHeight="1">
      <c r="A1034" s="14"/>
      <c r="B1034" s="73"/>
      <c r="C1034" s="74"/>
      <c r="D1034" s="1555"/>
      <c r="E1034" s="1268"/>
      <c r="F1034" s="1268"/>
      <c r="G1034" s="1268"/>
      <c r="H1034" s="1268"/>
      <c r="I1034" s="1268"/>
      <c r="J1034" s="1268"/>
      <c r="K1034" s="1268"/>
      <c r="L1034" s="1268"/>
      <c r="M1034" s="1268"/>
      <c r="N1034" s="1268"/>
      <c r="O1034" s="1268"/>
      <c r="P1034" s="1268"/>
      <c r="Q1034" s="1268"/>
      <c r="R1034" s="1268"/>
      <c r="S1034" s="1268"/>
      <c r="T1034" s="1268"/>
      <c r="U1034" s="1268"/>
      <c r="V1034" s="1268"/>
      <c r="W1034" s="1268"/>
      <c r="X1034" s="1268"/>
      <c r="Y1034" s="1268"/>
      <c r="Z1034" s="1268"/>
      <c r="AA1034" s="1268"/>
      <c r="AB1034" s="1268"/>
      <c r="AC1034" s="1268"/>
      <c r="AD1034" s="1268"/>
      <c r="AE1034" s="1556"/>
      <c r="AF1034" s="915"/>
      <c r="AG1034" s="916"/>
      <c r="AH1034" s="916"/>
      <c r="AI1034" s="917"/>
      <c r="AJ1034" s="1369"/>
      <c r="AK1034" s="1370"/>
      <c r="AL1034" s="1370"/>
      <c r="AM1034" s="1370"/>
      <c r="AN1034" s="1370"/>
      <c r="AO1034" s="1370"/>
      <c r="AP1034" s="1370"/>
      <c r="AQ1034" s="1371"/>
      <c r="AR1034" s="68"/>
      <c r="AS1034" s="68"/>
      <c r="AT1034" s="68"/>
      <c r="AU1034" s="68"/>
      <c r="AV1034" s="68"/>
      <c r="AW1034" s="68"/>
      <c r="AX1034" s="68"/>
      <c r="AY1034" s="68"/>
    </row>
    <row r="1035" spans="1:57" ht="12.95" customHeight="1">
      <c r="A1035" s="14"/>
      <c r="B1035" s="73"/>
      <c r="C1035" s="74"/>
      <c r="D1035" s="1557"/>
      <c r="E1035" s="1558"/>
      <c r="F1035" s="1558"/>
      <c r="G1035" s="1558"/>
      <c r="H1035" s="1558"/>
      <c r="I1035" s="1558"/>
      <c r="J1035" s="1558"/>
      <c r="K1035" s="1558"/>
      <c r="L1035" s="1558"/>
      <c r="M1035" s="1558"/>
      <c r="N1035" s="1558"/>
      <c r="O1035" s="1558"/>
      <c r="P1035" s="1558"/>
      <c r="Q1035" s="1558"/>
      <c r="R1035" s="1558"/>
      <c r="S1035" s="1558"/>
      <c r="T1035" s="1558"/>
      <c r="U1035" s="1558"/>
      <c r="V1035" s="1558"/>
      <c r="W1035" s="1558"/>
      <c r="X1035" s="1558"/>
      <c r="Y1035" s="1558"/>
      <c r="Z1035" s="1558"/>
      <c r="AA1035" s="1558"/>
      <c r="AB1035" s="1558"/>
      <c r="AC1035" s="1558"/>
      <c r="AD1035" s="1558"/>
      <c r="AE1035" s="1559"/>
      <c r="AF1035" s="918"/>
      <c r="AG1035" s="919"/>
      <c r="AH1035" s="919"/>
      <c r="AI1035" s="920"/>
      <c r="AJ1035" s="1372"/>
      <c r="AK1035" s="1373"/>
      <c r="AL1035" s="1373"/>
      <c r="AM1035" s="1373"/>
      <c r="AN1035" s="1373"/>
      <c r="AO1035" s="1373"/>
      <c r="AP1035" s="1373"/>
      <c r="AQ1035" s="1374"/>
      <c r="AR1035" s="68"/>
      <c r="AS1035" s="68"/>
      <c r="AT1035" s="68"/>
      <c r="AU1035" s="68"/>
      <c r="AV1035" s="68"/>
      <c r="AW1035" s="68"/>
      <c r="AX1035" s="68"/>
      <c r="AY1035" s="68"/>
    </row>
    <row r="1036" spans="1:57" ht="12.95" customHeight="1">
      <c r="A1036" s="14"/>
      <c r="B1036" s="73"/>
      <c r="C1036" s="339" t="s">
        <v>687</v>
      </c>
      <c r="D1036" s="1535" t="s">
        <v>1687</v>
      </c>
      <c r="E1036" s="1536"/>
      <c r="F1036" s="1536"/>
      <c r="G1036" s="1536"/>
      <c r="H1036" s="1536"/>
      <c r="I1036" s="1536"/>
      <c r="J1036" s="1536"/>
      <c r="K1036" s="1536"/>
      <c r="L1036" s="1536"/>
      <c r="M1036" s="1536"/>
      <c r="N1036" s="1536"/>
      <c r="O1036" s="1536"/>
      <c r="P1036" s="1536"/>
      <c r="Q1036" s="1536"/>
      <c r="R1036" s="1536"/>
      <c r="S1036" s="1536"/>
      <c r="T1036" s="1536"/>
      <c r="U1036" s="1536"/>
      <c r="V1036" s="1536"/>
      <c r="W1036" s="1536"/>
      <c r="X1036" s="1536"/>
      <c r="Y1036" s="1536"/>
      <c r="Z1036" s="1536"/>
      <c r="AA1036" s="1536"/>
      <c r="AB1036" s="1536"/>
      <c r="AC1036" s="1536"/>
      <c r="AD1036" s="1536"/>
      <c r="AE1036" s="1537"/>
      <c r="AF1036" s="73"/>
      <c r="AG1036" s="1544" t="s">
        <v>545</v>
      </c>
      <c r="AH1036" s="1545"/>
      <c r="AI1036" s="83"/>
      <c r="AJ1036" s="1366">
        <f>ROUND(IF(AND(AG1036="yes",AJ1032=0),(AJ992*0.1),0),0)</f>
        <v>11201624</v>
      </c>
      <c r="AK1036" s="1367"/>
      <c r="AL1036" s="1367"/>
      <c r="AM1036" s="1367"/>
      <c r="AN1036" s="1367"/>
      <c r="AO1036" s="1367"/>
      <c r="AP1036" s="1367"/>
      <c r="AQ1036" s="1368"/>
      <c r="AR1036" s="68"/>
      <c r="AS1036" s="68"/>
      <c r="AT1036" s="68"/>
      <c r="AU1036" s="68"/>
      <c r="AV1036" s="68"/>
      <c r="AW1036" s="68"/>
      <c r="AX1036" s="68"/>
      <c r="AY1036" s="68"/>
    </row>
    <row r="1037" spans="1:57" ht="12.95" customHeight="1">
      <c r="A1037" s="14"/>
      <c r="B1037" s="73"/>
      <c r="C1037" s="74"/>
      <c r="D1037" s="1555" t="s">
        <v>1688</v>
      </c>
      <c r="E1037" s="1268"/>
      <c r="F1037" s="1268"/>
      <c r="G1037" s="1268"/>
      <c r="H1037" s="1268"/>
      <c r="I1037" s="1268"/>
      <c r="J1037" s="1268"/>
      <c r="K1037" s="1268"/>
      <c r="L1037" s="1268"/>
      <c r="M1037" s="1268"/>
      <c r="N1037" s="1268"/>
      <c r="O1037" s="1268"/>
      <c r="P1037" s="1268"/>
      <c r="Q1037" s="1268"/>
      <c r="R1037" s="1268"/>
      <c r="S1037" s="1268"/>
      <c r="T1037" s="1268"/>
      <c r="U1037" s="1268"/>
      <c r="V1037" s="1268"/>
      <c r="W1037" s="1268"/>
      <c r="X1037" s="1268"/>
      <c r="Y1037" s="1268"/>
      <c r="Z1037" s="1268"/>
      <c r="AA1037" s="1268"/>
      <c r="AB1037" s="1268"/>
      <c r="AC1037" s="1268"/>
      <c r="AD1037" s="1268"/>
      <c r="AE1037" s="1556"/>
      <c r="AF1037" s="73"/>
      <c r="AG1037" s="14"/>
      <c r="AH1037" s="14"/>
      <c r="AI1037" s="83"/>
      <c r="AJ1037" s="1369"/>
      <c r="AK1037" s="1370"/>
      <c r="AL1037" s="1370"/>
      <c r="AM1037" s="1370"/>
      <c r="AN1037" s="1370"/>
      <c r="AO1037" s="1370"/>
      <c r="AP1037" s="1370"/>
      <c r="AQ1037" s="1371"/>
      <c r="AR1037" s="68"/>
      <c r="AS1037" s="68"/>
      <c r="AT1037" s="68"/>
      <c r="AU1037" s="68"/>
      <c r="AV1037" s="68"/>
      <c r="AW1037" s="68"/>
      <c r="AX1037" s="68"/>
      <c r="AY1037" s="68"/>
    </row>
    <row r="1038" spans="1:57" ht="12.95" customHeight="1">
      <c r="A1038" s="14"/>
      <c r="B1038" s="73"/>
      <c r="C1038" s="74"/>
      <c r="D1038" s="1555"/>
      <c r="E1038" s="1268"/>
      <c r="F1038" s="1268"/>
      <c r="G1038" s="1268"/>
      <c r="H1038" s="1268"/>
      <c r="I1038" s="1268"/>
      <c r="J1038" s="1268"/>
      <c r="K1038" s="1268"/>
      <c r="L1038" s="1268"/>
      <c r="M1038" s="1268"/>
      <c r="N1038" s="1268"/>
      <c r="O1038" s="1268"/>
      <c r="P1038" s="1268"/>
      <c r="Q1038" s="1268"/>
      <c r="R1038" s="1268"/>
      <c r="S1038" s="1268"/>
      <c r="T1038" s="1268"/>
      <c r="U1038" s="1268"/>
      <c r="V1038" s="1268"/>
      <c r="W1038" s="1268"/>
      <c r="X1038" s="1268"/>
      <c r="Y1038" s="1268"/>
      <c r="Z1038" s="1268"/>
      <c r="AA1038" s="1268"/>
      <c r="AB1038" s="1268"/>
      <c r="AC1038" s="1268"/>
      <c r="AD1038" s="1268"/>
      <c r="AE1038" s="1556"/>
      <c r="AF1038" s="73"/>
      <c r="AG1038" s="14"/>
      <c r="AH1038" s="14"/>
      <c r="AI1038" s="83"/>
      <c r="AJ1038" s="1369"/>
      <c r="AK1038" s="1370"/>
      <c r="AL1038" s="1370"/>
      <c r="AM1038" s="1370"/>
      <c r="AN1038" s="1370"/>
      <c r="AO1038" s="1370"/>
      <c r="AP1038" s="1370"/>
      <c r="AQ1038" s="1371"/>
      <c r="AR1038" s="68"/>
      <c r="AS1038" s="68"/>
      <c r="AT1038" s="68"/>
      <c r="AU1038" s="68"/>
      <c r="AV1038" s="68"/>
      <c r="AW1038" s="68"/>
      <c r="AX1038" s="68"/>
      <c r="AY1038" s="68"/>
      <c r="BA1038" s="1183">
        <f>IFERROR(('Sources and Uses Budget'!$C$17+'Sources and Uses Budget'!$C$18+'Sources and Uses Budget'!$C$22)/$AG$437,0)</f>
        <v>0</v>
      </c>
      <c r="BB1038" s="1183" t="s">
        <v>2488</v>
      </c>
      <c r="BC1038" s="1183"/>
      <c r="BD1038" s="1183"/>
      <c r="BE1038" s="1183"/>
    </row>
    <row r="1039" spans="1:57" ht="12.95" customHeight="1">
      <c r="A1039" s="14"/>
      <c r="B1039" s="73"/>
      <c r="C1039" s="74"/>
      <c r="D1039" s="1555"/>
      <c r="E1039" s="1268"/>
      <c r="F1039" s="1268"/>
      <c r="G1039" s="1268"/>
      <c r="H1039" s="1268"/>
      <c r="I1039" s="1268"/>
      <c r="J1039" s="1268"/>
      <c r="K1039" s="1268"/>
      <c r="L1039" s="1268"/>
      <c r="M1039" s="1268"/>
      <c r="N1039" s="1268"/>
      <c r="O1039" s="1268"/>
      <c r="P1039" s="1268"/>
      <c r="Q1039" s="1268"/>
      <c r="R1039" s="1268"/>
      <c r="S1039" s="1268"/>
      <c r="T1039" s="1268"/>
      <c r="U1039" s="1268"/>
      <c r="V1039" s="1268"/>
      <c r="W1039" s="1268"/>
      <c r="X1039" s="1268"/>
      <c r="Y1039" s="1268"/>
      <c r="Z1039" s="1268"/>
      <c r="AA1039" s="1268"/>
      <c r="AB1039" s="1268"/>
      <c r="AC1039" s="1268"/>
      <c r="AD1039" s="1268"/>
      <c r="AE1039" s="1556"/>
      <c r="AF1039" s="73"/>
      <c r="AG1039" s="14"/>
      <c r="AH1039" s="14"/>
      <c r="AI1039" s="83"/>
      <c r="AJ1039" s="1369"/>
      <c r="AK1039" s="1370"/>
      <c r="AL1039" s="1370"/>
      <c r="AM1039" s="1370"/>
      <c r="AN1039" s="1370"/>
      <c r="AO1039" s="1370"/>
      <c r="AP1039" s="1370"/>
      <c r="AQ1039" s="1371"/>
      <c r="AR1039" s="68"/>
      <c r="AS1039" s="68"/>
      <c r="AT1039" s="68"/>
      <c r="AU1039" s="68"/>
      <c r="AV1039" s="68"/>
      <c r="AW1039" s="68"/>
      <c r="AX1039" s="68"/>
      <c r="AY1039" s="68"/>
      <c r="BA1039">
        <f>IFERROR((($CI$753+$CM$753)/$AG$440),0)</f>
        <v>0.20817843866171004</v>
      </c>
      <c r="BB1039" s="3" t="s">
        <v>2492</v>
      </c>
    </row>
    <row r="1040" spans="1:57" ht="12.95" customHeight="1">
      <c r="A1040" s="14"/>
      <c r="B1040" s="73"/>
      <c r="C1040" s="74"/>
      <c r="D1040" s="1557"/>
      <c r="E1040" s="1558"/>
      <c r="F1040" s="1558"/>
      <c r="G1040" s="1558"/>
      <c r="H1040" s="1558"/>
      <c r="I1040" s="1558"/>
      <c r="J1040" s="1558"/>
      <c r="K1040" s="1558"/>
      <c r="L1040" s="1558"/>
      <c r="M1040" s="1558"/>
      <c r="N1040" s="1558"/>
      <c r="O1040" s="1558"/>
      <c r="P1040" s="1558"/>
      <c r="Q1040" s="1558"/>
      <c r="R1040" s="1558"/>
      <c r="S1040" s="1558"/>
      <c r="T1040" s="1558"/>
      <c r="U1040" s="1558"/>
      <c r="V1040" s="1558"/>
      <c r="W1040" s="1558"/>
      <c r="X1040" s="1558"/>
      <c r="Y1040" s="1558"/>
      <c r="Z1040" s="1558"/>
      <c r="AA1040" s="1558"/>
      <c r="AB1040" s="1558"/>
      <c r="AC1040" s="1558"/>
      <c r="AD1040" s="1558"/>
      <c r="AE1040" s="1559"/>
      <c r="AF1040" s="73"/>
      <c r="AG1040" s="14"/>
      <c r="AH1040" s="14"/>
      <c r="AI1040" s="83"/>
      <c r="AJ1040" s="1369"/>
      <c r="AK1040" s="1370"/>
      <c r="AL1040" s="1370"/>
      <c r="AM1040" s="1370"/>
      <c r="AN1040" s="1370"/>
      <c r="AO1040" s="1370"/>
      <c r="AP1040" s="1370"/>
      <c r="AQ1040" s="1371"/>
      <c r="AR1040" s="68"/>
      <c r="AS1040" s="68"/>
      <c r="AT1040" s="68"/>
      <c r="AU1040" s="68"/>
      <c r="AV1040" s="68"/>
      <c r="AW1040" s="68"/>
      <c r="AX1040" s="68"/>
      <c r="AY1040" s="68"/>
      <c r="BA1040" t="b">
        <f>'Points System'!AJ164="Yes"</f>
        <v>0</v>
      </c>
      <c r="BB1040" s="3" t="s">
        <v>2489</v>
      </c>
    </row>
    <row r="1041" spans="1:56" ht="12.95" customHeight="1">
      <c r="A1041" s="14"/>
      <c r="B1041" s="79"/>
      <c r="C1041" s="131" t="s">
        <v>1009</v>
      </c>
      <c r="D1041" s="1347" t="s">
        <v>1296</v>
      </c>
      <c r="E1041" s="1348"/>
      <c r="F1041" s="1348"/>
      <c r="G1041" s="1348"/>
      <c r="H1041" s="1348"/>
      <c r="I1041" s="1348"/>
      <c r="J1041" s="1348"/>
      <c r="K1041" s="1348"/>
      <c r="L1041" s="1348"/>
      <c r="M1041" s="1348"/>
      <c r="N1041" s="1348"/>
      <c r="O1041" s="1348"/>
      <c r="P1041" s="1348"/>
      <c r="Q1041" s="1348"/>
      <c r="R1041" s="1348"/>
      <c r="S1041" s="1348"/>
      <c r="T1041" s="1348"/>
      <c r="U1041" s="1348"/>
      <c r="V1041" s="1348"/>
      <c r="W1041" s="1348"/>
      <c r="X1041" s="1348"/>
      <c r="Y1041" s="1348"/>
      <c r="Z1041" s="1348"/>
      <c r="AA1041" s="1348"/>
      <c r="AB1041" s="1348"/>
      <c r="AC1041" s="1348"/>
      <c r="AD1041" s="1348"/>
      <c r="AE1041" s="1349"/>
      <c r="AF1041" s="79"/>
      <c r="AG1041" s="1419" t="s">
        <v>669</v>
      </c>
      <c r="AH1041" s="1420"/>
      <c r="AI1041" s="87"/>
      <c r="AJ1041" s="1366">
        <f>ROUND(IF(AG1041="yes",(AJ992*0.1),0),0)</f>
        <v>0</v>
      </c>
      <c r="AK1041" s="1367"/>
      <c r="AL1041" s="1367"/>
      <c r="AM1041" s="1367"/>
      <c r="AN1041" s="1367"/>
      <c r="AO1041" s="1367"/>
      <c r="AP1041" s="1367"/>
      <c r="AQ1041" s="1368"/>
      <c r="AR1041" s="68"/>
      <c r="AS1041" s="68"/>
      <c r="AT1041" s="68"/>
      <c r="AU1041" s="68"/>
      <c r="AV1041" s="68"/>
      <c r="AW1041" s="68"/>
      <c r="AX1041" s="68"/>
      <c r="AY1041" s="68"/>
      <c r="BA1041">
        <f>Q212</f>
        <v>0</v>
      </c>
      <c r="BB1041" s="3" t="s">
        <v>2490</v>
      </c>
    </row>
    <row r="1042" spans="1:56" ht="12.95" customHeight="1">
      <c r="A1042" s="14"/>
      <c r="B1042" s="73"/>
      <c r="C1042" s="74"/>
      <c r="D1042" s="1410" t="s">
        <v>2144</v>
      </c>
      <c r="E1042" s="1411"/>
      <c r="F1042" s="1411"/>
      <c r="G1042" s="1411"/>
      <c r="H1042" s="1411"/>
      <c r="I1042" s="1411"/>
      <c r="J1042" s="1411"/>
      <c r="K1042" s="1411"/>
      <c r="L1042" s="1411"/>
      <c r="M1042" s="1411"/>
      <c r="N1042" s="1411"/>
      <c r="O1042" s="1411"/>
      <c r="P1042" s="1411"/>
      <c r="Q1042" s="1411"/>
      <c r="R1042" s="1411"/>
      <c r="S1042" s="1411"/>
      <c r="T1042" s="1411"/>
      <c r="U1042" s="1411"/>
      <c r="V1042" s="1411"/>
      <c r="W1042" s="1411"/>
      <c r="X1042" s="1411"/>
      <c r="Y1042" s="1411"/>
      <c r="Z1042" s="1411"/>
      <c r="AA1042" s="1411"/>
      <c r="AB1042" s="1411"/>
      <c r="AC1042" s="1411"/>
      <c r="AD1042" s="1411"/>
      <c r="AE1042" s="1412"/>
      <c r="AF1042" s="73"/>
      <c r="AG1042" s="14"/>
      <c r="AH1042" s="14"/>
      <c r="AI1042" s="83"/>
      <c r="AJ1042" s="1369"/>
      <c r="AK1042" s="1370"/>
      <c r="AL1042" s="1370"/>
      <c r="AM1042" s="1370"/>
      <c r="AN1042" s="1370"/>
      <c r="AO1042" s="1370"/>
      <c r="AP1042" s="1370"/>
      <c r="AQ1042" s="1371"/>
      <c r="AR1042" s="68"/>
      <c r="AS1042" s="68"/>
      <c r="AT1042" s="68"/>
      <c r="AU1042" s="68"/>
      <c r="AV1042" s="68"/>
      <c r="AW1042" s="68"/>
      <c r="AX1042" s="68"/>
      <c r="AY1042" s="68"/>
      <c r="BA1042" s="1184">
        <f>T212</f>
        <v>0</v>
      </c>
      <c r="BB1042" s="3" t="s">
        <v>2491</v>
      </c>
    </row>
    <row r="1043" spans="1:56" ht="12.95" customHeight="1">
      <c r="A1043" s="14"/>
      <c r="B1043" s="73"/>
      <c r="C1043" s="74"/>
      <c r="D1043" s="1410"/>
      <c r="E1043" s="1411"/>
      <c r="F1043" s="1411"/>
      <c r="G1043" s="1411"/>
      <c r="H1043" s="1411"/>
      <c r="I1043" s="1411"/>
      <c r="J1043" s="1411"/>
      <c r="K1043" s="1411"/>
      <c r="L1043" s="1411"/>
      <c r="M1043" s="1411"/>
      <c r="N1043" s="1411"/>
      <c r="O1043" s="1411"/>
      <c r="P1043" s="1411"/>
      <c r="Q1043" s="1411"/>
      <c r="R1043" s="1411"/>
      <c r="S1043" s="1411"/>
      <c r="T1043" s="1411"/>
      <c r="U1043" s="1411"/>
      <c r="V1043" s="1411"/>
      <c r="W1043" s="1411"/>
      <c r="X1043" s="1411"/>
      <c r="Y1043" s="1411"/>
      <c r="Z1043" s="1411"/>
      <c r="AA1043" s="1411"/>
      <c r="AB1043" s="1411"/>
      <c r="AC1043" s="1411"/>
      <c r="AD1043" s="1411"/>
      <c r="AE1043" s="1412"/>
      <c r="AF1043" s="73"/>
      <c r="AG1043" s="14"/>
      <c r="AH1043" s="14"/>
      <c r="AI1043" s="83"/>
      <c r="AJ1043" s="1369"/>
      <c r="AK1043" s="1370"/>
      <c r="AL1043" s="1370"/>
      <c r="AM1043" s="1370"/>
      <c r="AN1043" s="1370"/>
      <c r="AO1043" s="1370"/>
      <c r="AP1043" s="1370"/>
      <c r="AQ1043" s="1371"/>
      <c r="AR1043" s="68"/>
      <c r="AS1043" s="68"/>
      <c r="AT1043" s="68"/>
      <c r="AU1043" s="68"/>
      <c r="AV1043" s="68"/>
      <c r="AW1043" s="68"/>
      <c r="AX1043" s="68"/>
      <c r="AY1043" s="68"/>
    </row>
    <row r="1044" spans="1:56" ht="12.95" customHeight="1">
      <c r="A1044" s="14"/>
      <c r="B1044" s="73"/>
      <c r="C1044" s="74"/>
      <c r="D1044" s="1538"/>
      <c r="E1044" s="1539"/>
      <c r="F1044" s="1539"/>
      <c r="G1044" s="1539"/>
      <c r="H1044" s="1539"/>
      <c r="I1044" s="1539"/>
      <c r="J1044" s="1539"/>
      <c r="K1044" s="1539"/>
      <c r="L1044" s="1539"/>
      <c r="M1044" s="1539"/>
      <c r="N1044" s="1539"/>
      <c r="O1044" s="1539"/>
      <c r="P1044" s="1539"/>
      <c r="Q1044" s="1539"/>
      <c r="R1044" s="1539"/>
      <c r="S1044" s="1539"/>
      <c r="T1044" s="1539"/>
      <c r="U1044" s="1539"/>
      <c r="V1044" s="1539"/>
      <c r="W1044" s="1539"/>
      <c r="X1044" s="1539"/>
      <c r="Y1044" s="1539"/>
      <c r="Z1044" s="1539"/>
      <c r="AA1044" s="1539"/>
      <c r="AB1044" s="1539"/>
      <c r="AC1044" s="1539"/>
      <c r="AD1044" s="1539"/>
      <c r="AE1044" s="1540"/>
      <c r="AF1044" s="73"/>
      <c r="AG1044" s="14"/>
      <c r="AH1044" s="14"/>
      <c r="AI1044" s="83"/>
      <c r="AJ1044" s="1372"/>
      <c r="AK1044" s="1373"/>
      <c r="AL1044" s="1373"/>
      <c r="AM1044" s="1373"/>
      <c r="AN1044" s="1373"/>
      <c r="AO1044" s="1373"/>
      <c r="AP1044" s="1373"/>
      <c r="AQ1044" s="1374"/>
      <c r="AR1044" s="68"/>
      <c r="AS1044" s="68"/>
      <c r="AT1044" s="68"/>
      <c r="AU1044" s="68"/>
      <c r="AV1044" s="68"/>
      <c r="AW1044" s="68"/>
      <c r="AX1044" s="68"/>
      <c r="AY1044" s="68"/>
    </row>
    <row r="1045" spans="1:56" ht="12.95" customHeight="1">
      <c r="A1045" s="14"/>
      <c r="B1045" s="79"/>
      <c r="C1045" s="131" t="s">
        <v>1683</v>
      </c>
      <c r="D1045" s="1535" t="s">
        <v>1864</v>
      </c>
      <c r="E1045" s="1536"/>
      <c r="F1045" s="1536"/>
      <c r="G1045" s="1536"/>
      <c r="H1045" s="1536"/>
      <c r="I1045" s="1536"/>
      <c r="J1045" s="1536"/>
      <c r="K1045" s="1536"/>
      <c r="L1045" s="1536"/>
      <c r="M1045" s="1536"/>
      <c r="N1045" s="1536"/>
      <c r="O1045" s="1536"/>
      <c r="P1045" s="1536"/>
      <c r="Q1045" s="1536"/>
      <c r="R1045" s="1536"/>
      <c r="S1045" s="1536"/>
      <c r="T1045" s="1536"/>
      <c r="U1045" s="1536"/>
      <c r="V1045" s="1536"/>
      <c r="W1045" s="1536"/>
      <c r="X1045" s="1536"/>
      <c r="Y1045" s="1536"/>
      <c r="Z1045" s="1536"/>
      <c r="AA1045" s="1536"/>
      <c r="AB1045" s="1536"/>
      <c r="AC1045" s="1536"/>
      <c r="AD1045" s="1536"/>
      <c r="AE1045" s="1537"/>
      <c r="AF1045" s="79"/>
      <c r="AG1045" s="1417" t="str">
        <f>IF(X1048&gt;0,"Yes","No")</f>
        <v>Yes</v>
      </c>
      <c r="AH1045" s="1418"/>
      <c r="AI1045" s="87"/>
      <c r="AJ1045" s="1366">
        <f>IF((X1048=0),0,AY1005*AJ992)</f>
        <v>11201624.200000001</v>
      </c>
      <c r="AK1045" s="1367"/>
      <c r="AL1045" s="1367"/>
      <c r="AM1045" s="1367"/>
      <c r="AN1045" s="1367"/>
      <c r="AO1045" s="1367"/>
      <c r="AP1045" s="1367"/>
      <c r="AQ1045" s="1368"/>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2477</v>
      </c>
      <c r="BB1045" s="3"/>
      <c r="BC1045" s="3"/>
      <c r="BD1045" s="3"/>
    </row>
    <row r="1046" spans="1:56" ht="12.95" customHeight="1">
      <c r="A1046" s="14"/>
      <c r="B1046" s="73"/>
      <c r="C1046" s="442"/>
      <c r="D1046" s="1410" t="s">
        <v>1298</v>
      </c>
      <c r="E1046" s="1411"/>
      <c r="F1046" s="1411"/>
      <c r="G1046" s="1411"/>
      <c r="H1046" s="1411"/>
      <c r="I1046" s="1411"/>
      <c r="J1046" s="1411"/>
      <c r="K1046" s="1411"/>
      <c r="L1046" s="1411"/>
      <c r="M1046" s="1411"/>
      <c r="N1046" s="1411"/>
      <c r="O1046" s="1411"/>
      <c r="P1046" s="1411"/>
      <c r="Q1046" s="1411"/>
      <c r="R1046" s="1411"/>
      <c r="S1046" s="1411"/>
      <c r="T1046" s="1411"/>
      <c r="U1046" s="1411"/>
      <c r="V1046" s="1411"/>
      <c r="W1046" s="1411"/>
      <c r="X1046" s="1411"/>
      <c r="Y1046" s="1411"/>
      <c r="Z1046" s="1411"/>
      <c r="AA1046" s="1411"/>
      <c r="AB1046" s="1411"/>
      <c r="AC1046" s="1411"/>
      <c r="AD1046" s="1411"/>
      <c r="AE1046" s="1412"/>
      <c r="AF1046" s="73"/>
      <c r="AG1046" s="443"/>
      <c r="AH1046" s="443"/>
      <c r="AI1046" s="83"/>
      <c r="AJ1046" s="1369"/>
      <c r="AK1046" s="1370"/>
      <c r="AL1046" s="1370"/>
      <c r="AM1046" s="1370"/>
      <c r="AN1046" s="1370"/>
      <c r="AO1046" s="1370"/>
      <c r="AP1046" s="1370"/>
      <c r="AQ1046" s="1371"/>
      <c r="AR1046" s="68"/>
      <c r="AS1046" s="68"/>
      <c r="AT1046" s="68"/>
      <c r="AU1046" s="13"/>
      <c r="AV1046" s="68"/>
      <c r="AW1046" s="68"/>
      <c r="AX1046" s="68"/>
      <c r="AY1046" s="68"/>
      <c r="AZ1046" s="962">
        <f>'Sources and Uses Budget'!S97*BA1046</f>
        <v>11019480</v>
      </c>
      <c r="BA1046" s="1182">
        <f>IF(BA1040,20%,15%)</f>
        <v>0.15</v>
      </c>
      <c r="BB1046" s="3" t="s">
        <v>2478</v>
      </c>
      <c r="BC1046" s="3" t="s">
        <v>2479</v>
      </c>
      <c r="BD1046" s="3"/>
    </row>
    <row r="1047" spans="1:56" ht="12.95" customHeight="1">
      <c r="A1047" s="14"/>
      <c r="B1047" s="73"/>
      <c r="C1047" s="442"/>
      <c r="D1047" s="1410"/>
      <c r="E1047" s="1411"/>
      <c r="F1047" s="1411"/>
      <c r="G1047" s="1411"/>
      <c r="H1047" s="1411"/>
      <c r="I1047" s="1411"/>
      <c r="J1047" s="1411"/>
      <c r="K1047" s="1411"/>
      <c r="L1047" s="1411"/>
      <c r="M1047" s="1411"/>
      <c r="N1047" s="1411"/>
      <c r="O1047" s="1411"/>
      <c r="P1047" s="1411"/>
      <c r="Q1047" s="1411"/>
      <c r="R1047" s="1411"/>
      <c r="S1047" s="1411"/>
      <c r="T1047" s="1411"/>
      <c r="U1047" s="1411"/>
      <c r="V1047" s="1411"/>
      <c r="W1047" s="1411"/>
      <c r="X1047" s="1411"/>
      <c r="Y1047" s="1411"/>
      <c r="Z1047" s="1411"/>
      <c r="AA1047" s="1411"/>
      <c r="AB1047" s="1411"/>
      <c r="AC1047" s="1411"/>
      <c r="AD1047" s="1411"/>
      <c r="AE1047" s="1412"/>
      <c r="AF1047" s="73"/>
      <c r="AG1047" s="443"/>
      <c r="AH1047" s="443"/>
      <c r="AI1047" s="83"/>
      <c r="AJ1047" s="1369"/>
      <c r="AK1047" s="1370"/>
      <c r="AL1047" s="1370"/>
      <c r="AM1047" s="1370"/>
      <c r="AN1047" s="1370"/>
      <c r="AO1047" s="1370"/>
      <c r="AP1047" s="1370"/>
      <c r="AQ1047" s="1371"/>
      <c r="AR1047" s="68"/>
      <c r="AS1047" s="68"/>
      <c r="AT1047" s="68"/>
      <c r="AU1047" s="13"/>
      <c r="AV1047" s="68"/>
      <c r="AW1047" s="68"/>
      <c r="AX1047" s="68"/>
      <c r="AY1047" s="68"/>
      <c r="AZ1047" s="962">
        <f>IF(M356="N/A",0,'Sources and Uses Budget'!T97*BA1047)</f>
        <v>0</v>
      </c>
      <c r="BA1047" s="1182">
        <v>0.15</v>
      </c>
      <c r="BB1047" s="3" t="s">
        <v>2478</v>
      </c>
      <c r="BC1047" s="3" t="s">
        <v>2480</v>
      </c>
      <c r="BD1047" s="3"/>
    </row>
    <row r="1048" spans="1:56" ht="12.95" customHeight="1">
      <c r="A1048" s="14"/>
      <c r="B1048" s="77"/>
      <c r="C1048" s="78"/>
      <c r="D1048" s="132" t="s">
        <v>971</v>
      </c>
      <c r="E1048" s="133"/>
      <c r="F1048" s="133"/>
      <c r="G1048" s="133"/>
      <c r="H1048" s="133"/>
      <c r="I1048" s="1415">
        <f>AY1003</f>
        <v>269</v>
      </c>
      <c r="J1048" s="1416"/>
      <c r="K1048" s="7"/>
      <c r="L1048" s="133"/>
      <c r="M1048" s="133"/>
      <c r="N1048" s="133"/>
      <c r="O1048" s="133"/>
      <c r="P1048" s="133"/>
      <c r="Q1048" s="133"/>
      <c r="R1048" s="133"/>
      <c r="S1048" s="133"/>
      <c r="T1048" s="133"/>
      <c r="U1048" s="133"/>
      <c r="V1048" s="134" t="s">
        <v>972</v>
      </c>
      <c r="W1048" s="48"/>
      <c r="X1048" s="1413">
        <f>CI753</f>
        <v>28</v>
      </c>
      <c r="Y1048" s="1414"/>
      <c r="Z1048" s="48"/>
      <c r="AA1048" s="48"/>
      <c r="AB1048" s="48"/>
      <c r="AC1048" s="48"/>
      <c r="AD1048" s="48"/>
      <c r="AE1048" s="49"/>
      <c r="AF1048" s="924"/>
      <c r="AG1048" s="925"/>
      <c r="AH1048" s="925"/>
      <c r="AI1048" s="926"/>
      <c r="AJ1048" s="1372"/>
      <c r="AK1048" s="1373"/>
      <c r="AL1048" s="1373"/>
      <c r="AM1048" s="1373"/>
      <c r="AN1048" s="1373"/>
      <c r="AO1048" s="1373"/>
      <c r="AP1048" s="1373"/>
      <c r="AQ1048" s="1374"/>
      <c r="AR1048" s="68"/>
      <c r="AS1048" s="68"/>
      <c r="AT1048" s="68"/>
      <c r="AU1048" s="14"/>
      <c r="AV1048" s="68"/>
      <c r="AW1048" s="68"/>
      <c r="AX1048" s="68"/>
      <c r="AY1048" s="68"/>
      <c r="AZ1048" s="962">
        <f>IF(M358="N/A",0,'Sources and Uses Budget'!T97*BA1048)</f>
        <v>0</v>
      </c>
      <c r="BA1048" s="1182" cm="1">
        <f t="array" ref="BA1048">_xlfn.IFS(X180="Yes",5%,$BA$1038&gt;50000,15%,BA1039&gt;=30%,15%,TRUE,5%)</f>
        <v>0.05</v>
      </c>
      <c r="BB1048" s="3" t="s">
        <v>2478</v>
      </c>
      <c r="BC1048" s="3" t="s">
        <v>2481</v>
      </c>
      <c r="BD1048" s="3"/>
    </row>
    <row r="1049" spans="1:56" ht="12.95" customHeight="1">
      <c r="A1049" s="14"/>
      <c r="B1049" s="79"/>
      <c r="C1049" s="131" t="s">
        <v>1684</v>
      </c>
      <c r="D1049" s="1347" t="s">
        <v>2170</v>
      </c>
      <c r="E1049" s="1348"/>
      <c r="F1049" s="1348"/>
      <c r="G1049" s="1348"/>
      <c r="H1049" s="1348"/>
      <c r="I1049" s="1348"/>
      <c r="J1049" s="1348"/>
      <c r="K1049" s="1348"/>
      <c r="L1049" s="1348"/>
      <c r="M1049" s="1348"/>
      <c r="N1049" s="1348"/>
      <c r="O1049" s="1348"/>
      <c r="P1049" s="1348"/>
      <c r="Q1049" s="1348"/>
      <c r="R1049" s="1348"/>
      <c r="S1049" s="1348"/>
      <c r="T1049" s="1348"/>
      <c r="U1049" s="1348"/>
      <c r="V1049" s="1348"/>
      <c r="W1049" s="1348"/>
      <c r="X1049" s="1348"/>
      <c r="Y1049" s="1348"/>
      <c r="Z1049" s="1348"/>
      <c r="AA1049" s="1348"/>
      <c r="AB1049" s="1348"/>
      <c r="AC1049" s="1348"/>
      <c r="AD1049" s="1348"/>
      <c r="AE1049" s="1349"/>
      <c r="AF1049" s="73"/>
      <c r="AG1049" s="1417" t="str">
        <f>IF(X1052&gt;0,"Yes","No")</f>
        <v>Yes</v>
      </c>
      <c r="AH1049" s="1418"/>
      <c r="AI1049" s="83"/>
      <c r="AJ1049" s="1366">
        <f>IF((X1052=0),0,(2*AY1006)*AJ992)</f>
        <v>22403248.400000002</v>
      </c>
      <c r="AK1049" s="1367"/>
      <c r="AL1049" s="1367"/>
      <c r="AM1049" s="1367"/>
      <c r="AN1049" s="1367"/>
      <c r="AO1049" s="1367"/>
      <c r="AP1049" s="1367"/>
      <c r="AQ1049" s="1368"/>
      <c r="AR1049" s="68"/>
      <c r="AS1049" s="68"/>
      <c r="AT1049" s="68"/>
      <c r="AU1049" s="14"/>
      <c r="AV1049" s="68"/>
      <c r="AW1049" s="68"/>
      <c r="AX1049" s="68"/>
      <c r="AY1049" s="68"/>
      <c r="AZ1049" s="962">
        <f>AZ1045*BA1049</f>
        <v>0</v>
      </c>
      <c r="BA1049" s="1182">
        <v>0.15</v>
      </c>
      <c r="BB1049" s="3" t="s">
        <v>2478</v>
      </c>
      <c r="BC1049" s="3" t="s">
        <v>2482</v>
      </c>
      <c r="BD1049" s="3"/>
    </row>
    <row r="1050" spans="1:56" ht="12.95" customHeight="1">
      <c r="A1050" s="14"/>
      <c r="B1050" s="73"/>
      <c r="C1050" s="442"/>
      <c r="D1050" s="1410" t="s">
        <v>1297</v>
      </c>
      <c r="E1050" s="1411"/>
      <c r="F1050" s="1411"/>
      <c r="G1050" s="1411"/>
      <c r="H1050" s="1411"/>
      <c r="I1050" s="1411"/>
      <c r="J1050" s="1411"/>
      <c r="K1050" s="1411"/>
      <c r="L1050" s="1411"/>
      <c r="M1050" s="1411"/>
      <c r="N1050" s="1411"/>
      <c r="O1050" s="1411"/>
      <c r="P1050" s="1411"/>
      <c r="Q1050" s="1411"/>
      <c r="R1050" s="1411"/>
      <c r="S1050" s="1411"/>
      <c r="T1050" s="1411"/>
      <c r="U1050" s="1411"/>
      <c r="V1050" s="1411"/>
      <c r="W1050" s="1411"/>
      <c r="X1050" s="1411"/>
      <c r="Y1050" s="1411"/>
      <c r="Z1050" s="1411"/>
      <c r="AA1050" s="1411"/>
      <c r="AB1050" s="1411"/>
      <c r="AC1050" s="1411"/>
      <c r="AD1050" s="1411"/>
      <c r="AE1050" s="1412"/>
      <c r="AF1050" s="73"/>
      <c r="AG1050" s="443"/>
      <c r="AH1050" s="443"/>
      <c r="AI1050" s="83"/>
      <c r="AJ1050" s="1369"/>
      <c r="AK1050" s="1370"/>
      <c r="AL1050" s="1370"/>
      <c r="AM1050" s="1370"/>
      <c r="AN1050" s="1370"/>
      <c r="AO1050" s="1370"/>
      <c r="AP1050" s="1370"/>
      <c r="AQ1050" s="1371"/>
      <c r="AR1050" s="68"/>
      <c r="AS1050" s="68"/>
      <c r="AT1050" s="68"/>
      <c r="AU1050" s="68"/>
      <c r="AV1050" s="68"/>
      <c r="AW1050" s="68"/>
      <c r="AX1050" s="68"/>
      <c r="AY1050" s="68"/>
      <c r="AZ1050" s="962"/>
      <c r="BA1050" s="3"/>
      <c r="BB1050" s="3"/>
      <c r="BC1050" s="3"/>
      <c r="BD1050" s="3"/>
    </row>
    <row r="1051" spans="1:56" ht="12.95" customHeight="1">
      <c r="A1051" s="14"/>
      <c r="B1051" s="73"/>
      <c r="C1051" s="83"/>
      <c r="D1051" s="1410"/>
      <c r="E1051" s="1411"/>
      <c r="F1051" s="1411"/>
      <c r="G1051" s="1411"/>
      <c r="H1051" s="1411"/>
      <c r="I1051" s="1411"/>
      <c r="J1051" s="1411"/>
      <c r="K1051" s="1411"/>
      <c r="L1051" s="1411"/>
      <c r="M1051" s="1411"/>
      <c r="N1051" s="1411"/>
      <c r="O1051" s="1411"/>
      <c r="P1051" s="1411"/>
      <c r="Q1051" s="1411"/>
      <c r="R1051" s="1411"/>
      <c r="S1051" s="1411"/>
      <c r="T1051" s="1411"/>
      <c r="U1051" s="1411"/>
      <c r="V1051" s="1411"/>
      <c r="W1051" s="1411"/>
      <c r="X1051" s="1411"/>
      <c r="Y1051" s="1411"/>
      <c r="Z1051" s="1411"/>
      <c r="AA1051" s="1411"/>
      <c r="AB1051" s="1411"/>
      <c r="AC1051" s="1411"/>
      <c r="AD1051" s="1411"/>
      <c r="AE1051" s="1412"/>
      <c r="AF1051" s="921"/>
      <c r="AG1051" s="922"/>
      <c r="AH1051" s="922"/>
      <c r="AI1051" s="923"/>
      <c r="AJ1051" s="1369"/>
      <c r="AK1051" s="1370"/>
      <c r="AL1051" s="1370"/>
      <c r="AM1051" s="1370"/>
      <c r="AN1051" s="1370"/>
      <c r="AO1051" s="1370"/>
      <c r="AP1051" s="1370"/>
      <c r="AQ1051" s="1371"/>
      <c r="AR1051" s="68"/>
      <c r="AS1051" s="68"/>
      <c r="AT1051" s="68"/>
      <c r="AU1051" s="68"/>
      <c r="AV1051" s="68"/>
      <c r="AW1051" s="68"/>
      <c r="AX1051" s="68"/>
      <c r="AY1051" s="68"/>
      <c r="AZ1051" s="962">
        <f>ROUNDDOWN(MIN(SUM(AZ1046,AZ1047,AZ1048,AZ1049),BD1051),0)</f>
        <v>2500000</v>
      </c>
      <c r="BA1051" s="3" t="s">
        <v>2483</v>
      </c>
      <c r="BB1051" s="3"/>
      <c r="BC1051" s="3"/>
      <c r="BD1051" s="3" cm="1">
        <f t="array" ref="BD1051">_xlfn.IFS(BA1040,3000000,AND(BA1041&gt;=25%,BA1042&gt;=15),2800000,TRUE,2500000)</f>
        <v>2500000</v>
      </c>
    </row>
    <row r="1052" spans="1:56" ht="12.95" customHeight="1">
      <c r="A1052" s="14"/>
      <c r="B1052" s="77"/>
      <c r="C1052" s="78"/>
      <c r="D1052" s="132" t="s">
        <v>971</v>
      </c>
      <c r="E1052" s="133"/>
      <c r="F1052" s="133"/>
      <c r="G1052" s="133"/>
      <c r="H1052" s="133"/>
      <c r="I1052" s="1415">
        <f>AY1003</f>
        <v>269</v>
      </c>
      <c r="J1052" s="1416"/>
      <c r="K1052" s="14"/>
      <c r="L1052" s="133"/>
      <c r="M1052" s="133"/>
      <c r="N1052" s="133"/>
      <c r="O1052" s="133"/>
      <c r="P1052" s="133"/>
      <c r="Q1052" s="133"/>
      <c r="R1052" s="133"/>
      <c r="S1052" s="133"/>
      <c r="T1052" s="133"/>
      <c r="U1052" s="133"/>
      <c r="V1052" s="134" t="s">
        <v>973</v>
      </c>
      <c r="X1052" s="1413">
        <f>CM753</f>
        <v>28</v>
      </c>
      <c r="Y1052" s="1414"/>
      <c r="AF1052" s="924"/>
      <c r="AG1052" s="925"/>
      <c r="AH1052" s="925"/>
      <c r="AI1052" s="926"/>
      <c r="AJ1052" s="1372"/>
      <c r="AK1052" s="1373"/>
      <c r="AL1052" s="1373"/>
      <c r="AM1052" s="1373"/>
      <c r="AN1052" s="1373"/>
      <c r="AO1052" s="1373"/>
      <c r="AP1052" s="1373"/>
      <c r="AQ1052" s="1374"/>
      <c r="AR1052" s="68"/>
      <c r="AS1052" s="68"/>
      <c r="AT1052" s="68"/>
      <c r="AU1052" s="68"/>
      <c r="AV1052" s="68"/>
      <c r="AW1052" s="68"/>
      <c r="AX1052" s="68"/>
      <c r="AY1052" s="68"/>
      <c r="AZ1052" s="962">
        <f>ROUNDDOWN(MAX(0,BA1052*(SUM(AG1093,AL1093,AZ1045)-BD1052))+BF1052,0)</f>
        <v>0</v>
      </c>
      <c r="BA1052" s="1182">
        <f>IF(L1042,7%,5%)</f>
        <v>0.05</v>
      </c>
      <c r="BB1052" s="3" t="s">
        <v>2484</v>
      </c>
      <c r="BC1052" s="3"/>
      <c r="BD1052" s="3">
        <v>6666667</v>
      </c>
    </row>
    <row r="1053" spans="1:56" ht="12.95" customHeight="1">
      <c r="A1053" s="14"/>
      <c r="B1053" s="102"/>
      <c r="C1053" s="103"/>
      <c r="D1053" s="1408" t="s">
        <v>513</v>
      </c>
      <c r="E1053" s="1408"/>
      <c r="F1053" s="1408"/>
      <c r="G1053" s="1408"/>
      <c r="H1053" s="1408"/>
      <c r="I1053" s="1408"/>
      <c r="J1053" s="1408"/>
      <c r="K1053" s="1408"/>
      <c r="L1053" s="1408"/>
      <c r="M1053" s="1408"/>
      <c r="N1053" s="1408"/>
      <c r="O1053" s="1408"/>
      <c r="P1053" s="1408"/>
      <c r="Q1053" s="1408"/>
      <c r="R1053" s="1408"/>
      <c r="S1053" s="1408"/>
      <c r="T1053" s="1408"/>
      <c r="U1053" s="1408"/>
      <c r="V1053" s="1408"/>
      <c r="W1053" s="1408"/>
      <c r="X1053" s="1408"/>
      <c r="Y1053" s="1408"/>
      <c r="Z1053" s="1408"/>
      <c r="AA1053" s="1408"/>
      <c r="AB1053" s="1408"/>
      <c r="AC1053" s="1408"/>
      <c r="AD1053" s="1408"/>
      <c r="AE1053" s="1408"/>
      <c r="AF1053" s="1408"/>
      <c r="AG1053" s="1408"/>
      <c r="AH1053" s="1408"/>
      <c r="AI1053" s="1409"/>
      <c r="AJ1053" s="1591">
        <f>SUM(AJ992:AQ1052)</f>
        <v>156822738.59999999</v>
      </c>
      <c r="AK1053" s="1592"/>
      <c r="AL1053" s="1592"/>
      <c r="AM1053" s="1592"/>
      <c r="AN1053" s="1592"/>
      <c r="AO1053" s="1592"/>
      <c r="AP1053" s="1592"/>
      <c r="AQ1053" s="1593"/>
      <c r="AR1053" s="68"/>
      <c r="AS1053" s="68"/>
      <c r="AT1053" s="68"/>
      <c r="AU1053" s="68"/>
      <c r="AV1053" s="68"/>
      <c r="AW1053" s="68"/>
      <c r="AX1053" s="68"/>
      <c r="AY1053" s="68"/>
      <c r="AZ1053" s="1181">
        <v>6000000</v>
      </c>
      <c r="BA1053" s="3" t="s">
        <v>2485</v>
      </c>
      <c r="BB1053" s="3"/>
      <c r="BC1053" s="3"/>
      <c r="BD1053" s="3"/>
    </row>
    <row r="1054" spans="1:56" ht="12.95"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2.95" customHeight="1">
      <c r="A1055" s="14"/>
      <c r="B1055" s="68"/>
      <c r="C1055" s="68"/>
      <c r="D1055" s="68"/>
      <c r="E1055" s="68"/>
      <c r="F1055" s="68"/>
      <c r="G1055" s="1173" t="s">
        <v>2470</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2486</v>
      </c>
      <c r="BC1055" s="3"/>
      <c r="BD1055" s="3"/>
    </row>
    <row r="1056" spans="1:56" ht="12.95" customHeight="1">
      <c r="A1056" s="14"/>
      <c r="B1056" s="68"/>
      <c r="C1056" s="68"/>
      <c r="D1056" s="68"/>
      <c r="E1056" s="68"/>
      <c r="F1056" s="68"/>
      <c r="G1056" s="1176" t="s">
        <v>2471</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849">
        <f>'Sources and Uses Budget'!S107+'Sources and Uses Budget'!T107</f>
        <v>84482680</v>
      </c>
      <c r="AB1056" s="1849"/>
      <c r="AC1056" s="1849"/>
      <c r="AD1056" s="1849"/>
      <c r="AE1056" s="1849"/>
      <c r="AF1056" s="1849"/>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11019480</v>
      </c>
      <c r="BB1056" s="3" t="s">
        <v>2487</v>
      </c>
      <c r="BC1056" s="3"/>
      <c r="BD1056" s="3"/>
    </row>
    <row r="1057" spans="1:54" ht="12.95" customHeight="1">
      <c r="A1057" s="14"/>
      <c r="B1057" s="68"/>
      <c r="C1057" s="68"/>
      <c r="D1057" s="68"/>
      <c r="E1057" s="68"/>
      <c r="F1057" s="68"/>
      <c r="G1057" s="1176"/>
      <c r="H1057" s="1176" t="s">
        <v>2472</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850">
        <f>IFERROR((AA1056-BA1059)/(AJ1053-AJ1045-AJ1049),"")</f>
        <v>0.61649501379937877</v>
      </c>
      <c r="AB1057" s="1851"/>
      <c r="AC1057" s="1851"/>
      <c r="AD1057" s="1851"/>
      <c r="AE1057" s="1851"/>
      <c r="AF1057" s="1852"/>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2.95" customHeight="1">
      <c r="A1058" s="14"/>
      <c r="B1058" s="68"/>
      <c r="C1058" s="68"/>
      <c r="D1058" s="68"/>
      <c r="E1058" s="68"/>
      <c r="F1058" s="68"/>
      <c r="G1058" s="1853"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853"/>
      <c r="I1058" s="1853"/>
      <c r="J1058" s="1853"/>
      <c r="K1058" s="1853"/>
      <c r="L1058" s="1853"/>
      <c r="M1058" s="1853"/>
      <c r="N1058" s="1853"/>
      <c r="O1058" s="1853"/>
      <c r="P1058" s="1853"/>
      <c r="Q1058" s="1853"/>
      <c r="R1058" s="1853"/>
      <c r="S1058" s="1853"/>
      <c r="T1058" s="1853"/>
      <c r="U1058" s="1853"/>
      <c r="V1058" s="1853"/>
      <c r="W1058" s="1853"/>
      <c r="X1058" s="1853"/>
      <c r="Y1058" s="1853"/>
      <c r="Z1058" s="1853"/>
      <c r="AA1058" s="1853"/>
      <c r="AB1058" s="1853"/>
      <c r="AC1058" s="1853"/>
      <c r="AD1058" s="1853"/>
      <c r="AE1058" s="1853"/>
      <c r="AF1058" s="1853"/>
      <c r="AG1058" s="1853"/>
      <c r="AH1058" s="1853"/>
      <c r="AI1058" s="1853"/>
      <c r="AJ1058" s="1853"/>
      <c r="AK1058" s="1853"/>
      <c r="AL1058" s="1853"/>
      <c r="AM1058" s="1853"/>
      <c r="AN1058" s="1853"/>
      <c r="AO1058" s="68"/>
      <c r="AP1058" s="68"/>
      <c r="AQ1058" s="68"/>
      <c r="AR1058" s="68"/>
      <c r="AS1058" s="68"/>
      <c r="AT1058" s="68"/>
      <c r="AU1058" s="68"/>
      <c r="AV1058" s="14"/>
      <c r="AW1058" s="14"/>
      <c r="AX1058" s="14"/>
      <c r="AY1058" s="14"/>
      <c r="BA1058" s="1185">
        <f>'Sources and Uses Budget'!$S$104+'Sources and Uses Budget'!$T$104</f>
        <v>11019480</v>
      </c>
      <c r="BB1058" s="3" t="s">
        <v>2493</v>
      </c>
    </row>
    <row r="1059" spans="1:54" ht="12.95" customHeight="1">
      <c r="A1059" s="14"/>
      <c r="B1059" s="14"/>
      <c r="C1059" s="208"/>
      <c r="D1059" s="858"/>
      <c r="E1059" s="858"/>
      <c r="F1059" s="858"/>
      <c r="G1059" s="1853"/>
      <c r="H1059" s="1853"/>
      <c r="I1059" s="1853"/>
      <c r="J1059" s="1853"/>
      <c r="K1059" s="1853"/>
      <c r="L1059" s="1853"/>
      <c r="M1059" s="1853"/>
      <c r="N1059" s="1853"/>
      <c r="O1059" s="1853"/>
      <c r="P1059" s="1853"/>
      <c r="Q1059" s="1853"/>
      <c r="R1059" s="1853"/>
      <c r="S1059" s="1853"/>
      <c r="T1059" s="1853"/>
      <c r="U1059" s="1853"/>
      <c r="V1059" s="1853"/>
      <c r="W1059" s="1853"/>
      <c r="X1059" s="1853"/>
      <c r="Y1059" s="1853"/>
      <c r="Z1059" s="1853"/>
      <c r="AA1059" s="1853"/>
      <c r="AB1059" s="1853"/>
      <c r="AC1059" s="1853"/>
      <c r="AD1059" s="1853"/>
      <c r="AE1059" s="1853"/>
      <c r="AF1059" s="1853"/>
      <c r="AG1059" s="1853"/>
      <c r="AH1059" s="1853"/>
      <c r="AI1059" s="1853"/>
      <c r="AJ1059" s="1853"/>
      <c r="AK1059" s="1853"/>
      <c r="AL1059" s="1853"/>
      <c r="AM1059" s="1853"/>
      <c r="AN1059" s="1853"/>
      <c r="AO1059" s="68"/>
      <c r="AP1059" s="68"/>
      <c r="AQ1059" s="68"/>
      <c r="AR1059" s="68"/>
      <c r="AS1059" s="68"/>
      <c r="AT1059" s="68"/>
      <c r="AU1059" s="68"/>
      <c r="AV1059" s="14"/>
      <c r="AW1059" s="14"/>
      <c r="AX1059" s="14"/>
      <c r="AY1059" s="14"/>
      <c r="BA1059" s="1186">
        <f>MAX($BA$1058-$BA$1055,0)</f>
        <v>8519480</v>
      </c>
      <c r="BB1059" s="3" t="s">
        <v>2494</v>
      </c>
    </row>
    <row r="1060" spans="1:54" ht="12.95" customHeight="1">
      <c r="A1060" s="88"/>
      <c r="B1060" s="1172"/>
      <c r="C1060" s="1172"/>
      <c r="D1060" s="1172"/>
      <c r="E1060" s="1172"/>
      <c r="F1060" s="1172"/>
      <c r="G1060" s="1853"/>
      <c r="H1060" s="1853"/>
      <c r="I1060" s="1853"/>
      <c r="J1060" s="1853"/>
      <c r="K1060" s="1853"/>
      <c r="L1060" s="1853"/>
      <c r="M1060" s="1853"/>
      <c r="N1060" s="1853"/>
      <c r="O1060" s="1853"/>
      <c r="P1060" s="1853"/>
      <c r="Q1060" s="1853"/>
      <c r="R1060" s="1853"/>
      <c r="S1060" s="1853"/>
      <c r="T1060" s="1853"/>
      <c r="U1060" s="1853"/>
      <c r="V1060" s="1853"/>
      <c r="W1060" s="1853"/>
      <c r="X1060" s="1853"/>
      <c r="Y1060" s="1853"/>
      <c r="Z1060" s="1853"/>
      <c r="AA1060" s="1853"/>
      <c r="AB1060" s="1853"/>
      <c r="AC1060" s="1853"/>
      <c r="AD1060" s="1853"/>
      <c r="AE1060" s="1853"/>
      <c r="AF1060" s="1853"/>
      <c r="AG1060" s="1853"/>
      <c r="AH1060" s="1853"/>
      <c r="AI1060" s="1853"/>
      <c r="AJ1060" s="1853"/>
      <c r="AK1060" s="1853"/>
      <c r="AL1060" s="1853"/>
      <c r="AM1060" s="1853"/>
      <c r="AN1060" s="1853"/>
      <c r="AO1060" s="1172"/>
      <c r="AP1060" s="1172"/>
      <c r="AQ1060" s="68"/>
      <c r="AR1060" s="68"/>
      <c r="AS1060" s="68"/>
      <c r="AT1060" s="68"/>
      <c r="AU1060" s="68"/>
      <c r="AV1060" s="68"/>
      <c r="AW1060" s="68"/>
      <c r="AX1060" s="68"/>
      <c r="AY1060" s="68"/>
    </row>
    <row r="1061" spans="1:54" ht="12.95" customHeight="1">
      <c r="A1061" s="1433" t="s">
        <v>794</v>
      </c>
      <c r="B1061" s="1433"/>
      <c r="C1061" s="1433"/>
      <c r="D1061" s="1433"/>
      <c r="E1061" s="1433"/>
      <c r="F1061" s="1433"/>
      <c r="G1061" s="1433"/>
      <c r="H1061" s="1433"/>
      <c r="I1061" s="1433"/>
      <c r="J1061" s="1433"/>
      <c r="K1061" s="1433"/>
      <c r="L1061" s="1433"/>
      <c r="M1061" s="1433"/>
      <c r="N1061" s="1433"/>
      <c r="O1061" s="1433"/>
      <c r="P1061" s="1433"/>
      <c r="Q1061" s="1433"/>
      <c r="R1061" s="1433"/>
      <c r="S1061" s="1433"/>
      <c r="T1061" s="1433"/>
      <c r="U1061" s="1433"/>
      <c r="V1061" s="1433"/>
      <c r="W1061" s="1433"/>
      <c r="X1061" s="1433"/>
      <c r="Y1061" s="1433"/>
      <c r="Z1061" s="1433"/>
      <c r="AA1061" s="1433"/>
      <c r="AB1061" s="1433"/>
      <c r="AC1061" s="1433"/>
      <c r="AD1061" s="1433"/>
      <c r="AE1061" s="1433"/>
      <c r="AF1061" s="1433"/>
      <c r="AG1061" s="1433"/>
      <c r="AH1061" s="1433"/>
      <c r="AI1061" s="1433"/>
      <c r="AJ1061" s="1433"/>
      <c r="AK1061" s="1433"/>
      <c r="AL1061" s="1433"/>
      <c r="AM1061" s="1433"/>
      <c r="AN1061" s="1433"/>
      <c r="AO1061" s="1433"/>
      <c r="AP1061" s="1433"/>
      <c r="AQ1061" s="1433"/>
      <c r="AR1061" s="13"/>
      <c r="AS1061" s="13"/>
      <c r="AT1061" s="13"/>
      <c r="AV1061" s="68"/>
      <c r="AW1061" s="68"/>
      <c r="AX1061" s="68"/>
      <c r="AY1061" s="68"/>
    </row>
    <row r="1062" spans="1:54" ht="12.95"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2.95" customHeight="1">
      <c r="A1063" s="57" t="s">
        <v>795</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2.95" customHeight="1">
      <c r="A1064" s="198" t="s">
        <v>796</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2.95" customHeight="1">
      <c r="A1065" s="1379" t="s">
        <v>545</v>
      </c>
      <c r="B1065" s="1379"/>
      <c r="C1065" s="1380">
        <v>1</v>
      </c>
      <c r="D1065" s="1380"/>
      <c r="E1065" s="14" t="s">
        <v>2236</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2.95" customHeight="1">
      <c r="A1066" s="198"/>
      <c r="B1066" s="67"/>
      <c r="C1066" s="1380"/>
      <c r="D1066" s="1380"/>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2.95" customHeight="1">
      <c r="A1067" s="1379" t="s">
        <v>591</v>
      </c>
      <c r="B1067" s="1379"/>
      <c r="C1067" s="1380">
        <v>2</v>
      </c>
      <c r="D1067" s="1380"/>
      <c r="E1067" s="1382" t="s">
        <v>2237</v>
      </c>
      <c r="F1067" s="1382"/>
      <c r="G1067" s="1382"/>
      <c r="H1067" s="1382"/>
      <c r="I1067" s="1382"/>
      <c r="J1067" s="1382"/>
      <c r="K1067" s="1382"/>
      <c r="L1067" s="1382"/>
      <c r="M1067" s="1382"/>
      <c r="N1067" s="1382"/>
      <c r="O1067" s="1382"/>
      <c r="P1067" s="1382"/>
      <c r="Q1067" s="1382"/>
      <c r="R1067" s="1382"/>
      <c r="S1067" s="1382"/>
      <c r="T1067" s="1382"/>
      <c r="U1067" s="1382"/>
      <c r="V1067" s="1382"/>
      <c r="W1067" s="1382"/>
      <c r="X1067" s="1382"/>
      <c r="Y1067" s="1382"/>
      <c r="Z1067" s="1382"/>
      <c r="AA1067" s="1382"/>
      <c r="AB1067" s="1382"/>
      <c r="AC1067" s="1382"/>
      <c r="AD1067" s="1382"/>
      <c r="AE1067" s="1382"/>
      <c r="AF1067" s="1382"/>
      <c r="AG1067" s="1382"/>
      <c r="AH1067" s="1382"/>
      <c r="AI1067" s="1382"/>
      <c r="AJ1067" s="1382"/>
      <c r="AK1067" s="1382"/>
      <c r="AL1067" s="1382"/>
      <c r="AM1067" s="1382"/>
      <c r="AN1067" s="1382"/>
      <c r="AO1067" s="1382"/>
      <c r="AP1067" s="1382"/>
      <c r="AQ1067" s="1382"/>
      <c r="AR1067" s="1382"/>
      <c r="AS1067" s="14"/>
      <c r="AT1067" s="14"/>
      <c r="AV1067" s="68"/>
      <c r="AW1067" s="68"/>
      <c r="AX1067" s="68"/>
      <c r="AY1067" s="68"/>
    </row>
    <row r="1068" spans="1:54" ht="12.95" customHeight="1">
      <c r="A1068" s="198"/>
      <c r="B1068" s="67"/>
      <c r="C1068" s="1380"/>
      <c r="D1068" s="1380"/>
      <c r="E1068" s="1382"/>
      <c r="F1068" s="1382"/>
      <c r="G1068" s="1382"/>
      <c r="H1068" s="1382"/>
      <c r="I1068" s="1382"/>
      <c r="J1068" s="1382"/>
      <c r="K1068" s="1382"/>
      <c r="L1068" s="1382"/>
      <c r="M1068" s="1382"/>
      <c r="N1068" s="1382"/>
      <c r="O1068" s="1382"/>
      <c r="P1068" s="1382"/>
      <c r="Q1068" s="1382"/>
      <c r="R1068" s="1382"/>
      <c r="S1068" s="1382"/>
      <c r="T1068" s="1382"/>
      <c r="U1068" s="1382"/>
      <c r="V1068" s="1382"/>
      <c r="W1068" s="1382"/>
      <c r="X1068" s="1382"/>
      <c r="Y1068" s="1382"/>
      <c r="Z1068" s="1382"/>
      <c r="AA1068" s="1382"/>
      <c r="AB1068" s="1382"/>
      <c r="AC1068" s="1382"/>
      <c r="AD1068" s="1382"/>
      <c r="AE1068" s="1382"/>
      <c r="AF1068" s="1382"/>
      <c r="AG1068" s="1382"/>
      <c r="AH1068" s="1382"/>
      <c r="AI1068" s="1382"/>
      <c r="AJ1068" s="1382"/>
      <c r="AK1068" s="1382"/>
      <c r="AL1068" s="1382"/>
      <c r="AM1068" s="1382"/>
      <c r="AN1068" s="1382"/>
      <c r="AO1068" s="1382"/>
      <c r="AP1068" s="1382"/>
      <c r="AQ1068" s="1382"/>
      <c r="AR1068" s="1382"/>
      <c r="AS1068" s="14"/>
      <c r="AT1068" s="14"/>
      <c r="AV1068" s="68"/>
      <c r="AW1068" s="68"/>
      <c r="AX1068" s="68"/>
      <c r="AY1068" s="68"/>
    </row>
    <row r="1069" spans="1:54" ht="12.95" customHeight="1">
      <c r="A1069" s="198"/>
      <c r="B1069" s="67"/>
      <c r="C1069" s="1380"/>
      <c r="D1069" s="1380"/>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2.95" customHeight="1">
      <c r="A1070" s="1379" t="s">
        <v>591</v>
      </c>
      <c r="B1070" s="1379"/>
      <c r="C1070" s="1378">
        <v>3</v>
      </c>
      <c r="D1070" s="1378"/>
      <c r="E1070" s="1293" t="s">
        <v>1079</v>
      </c>
      <c r="F1070" s="1293"/>
      <c r="G1070" s="1293"/>
      <c r="H1070" s="1293"/>
      <c r="I1070" s="1293"/>
      <c r="J1070" s="1293"/>
      <c r="K1070" s="1293"/>
      <c r="L1070" s="1293"/>
      <c r="M1070" s="1293"/>
      <c r="N1070" s="1293"/>
      <c r="O1070" s="1293"/>
      <c r="P1070" s="1293"/>
      <c r="Q1070" s="1293"/>
      <c r="R1070" s="1293"/>
      <c r="S1070" s="1293"/>
      <c r="T1070" s="1293"/>
      <c r="U1070" s="1293"/>
      <c r="V1070" s="1293"/>
      <c r="W1070" s="1293"/>
      <c r="X1070" s="1293"/>
      <c r="Y1070" s="1293"/>
      <c r="Z1070" s="1293"/>
      <c r="AA1070" s="1293"/>
      <c r="AB1070" s="1293"/>
      <c r="AC1070" s="1293"/>
      <c r="AD1070" s="1293"/>
      <c r="AE1070" s="1293"/>
      <c r="AF1070" s="1293"/>
      <c r="AG1070" s="1293"/>
      <c r="AH1070" s="1293"/>
      <c r="AI1070" s="1293"/>
      <c r="AJ1070" s="1293"/>
      <c r="AK1070" s="1293"/>
      <c r="AL1070" s="1293"/>
      <c r="AM1070" s="1293"/>
      <c r="AN1070" s="1293"/>
      <c r="AO1070" s="1293"/>
      <c r="AP1070" s="1293"/>
      <c r="AQ1070" s="1293"/>
      <c r="AR1070" s="1293"/>
      <c r="AS1070" s="14"/>
      <c r="AT1070" s="68"/>
      <c r="AV1070" s="68"/>
      <c r="AW1070" s="68"/>
      <c r="AX1070" s="68"/>
      <c r="AY1070" s="68"/>
    </row>
    <row r="1071" spans="1:54" ht="12.95" customHeight="1">
      <c r="A1071" s="1"/>
      <c r="B1071" s="1"/>
      <c r="C1071" s="1378"/>
      <c r="D1071" s="1378"/>
      <c r="E1071" s="1293"/>
      <c r="F1071" s="1293"/>
      <c r="G1071" s="1293"/>
      <c r="H1071" s="1293"/>
      <c r="I1071" s="1293"/>
      <c r="J1071" s="1293"/>
      <c r="K1071" s="1293"/>
      <c r="L1071" s="1293"/>
      <c r="M1071" s="1293"/>
      <c r="N1071" s="1293"/>
      <c r="O1071" s="1293"/>
      <c r="P1071" s="1293"/>
      <c r="Q1071" s="1293"/>
      <c r="R1071" s="1293"/>
      <c r="S1071" s="1293"/>
      <c r="T1071" s="1293"/>
      <c r="U1071" s="1293"/>
      <c r="V1071" s="1293"/>
      <c r="W1071" s="1293"/>
      <c r="X1071" s="1293"/>
      <c r="Y1071" s="1293"/>
      <c r="Z1071" s="1293"/>
      <c r="AA1071" s="1293"/>
      <c r="AB1071" s="1293"/>
      <c r="AC1071" s="1293"/>
      <c r="AD1071" s="1293"/>
      <c r="AE1071" s="1293"/>
      <c r="AF1071" s="1293"/>
      <c r="AG1071" s="1293"/>
      <c r="AH1071" s="1293"/>
      <c r="AI1071" s="1293"/>
      <c r="AJ1071" s="1293"/>
      <c r="AK1071" s="1293"/>
      <c r="AL1071" s="1293"/>
      <c r="AM1071" s="1293"/>
      <c r="AN1071" s="1293"/>
      <c r="AO1071" s="1293"/>
      <c r="AP1071" s="1293"/>
      <c r="AQ1071" s="1293"/>
      <c r="AR1071" s="1293"/>
      <c r="AS1071" s="14"/>
      <c r="AT1071" s="68"/>
      <c r="AV1071" s="68"/>
      <c r="AW1071" s="68"/>
      <c r="AX1071" s="68"/>
      <c r="AY1071" s="68"/>
    </row>
    <row r="1072" spans="1:54" ht="12.95" customHeight="1">
      <c r="A1072" s="1"/>
      <c r="B1072" s="1"/>
      <c r="C1072" s="1378"/>
      <c r="D1072" s="1378"/>
      <c r="E1072" s="1293"/>
      <c r="F1072" s="1293"/>
      <c r="G1072" s="1293"/>
      <c r="H1072" s="1293"/>
      <c r="I1072" s="1293"/>
      <c r="J1072" s="1293"/>
      <c r="K1072" s="1293"/>
      <c r="L1072" s="1293"/>
      <c r="M1072" s="1293"/>
      <c r="N1072" s="1293"/>
      <c r="O1072" s="1293"/>
      <c r="P1072" s="1293"/>
      <c r="Q1072" s="1293"/>
      <c r="R1072" s="1293"/>
      <c r="S1072" s="1293"/>
      <c r="T1072" s="1293"/>
      <c r="U1072" s="1293"/>
      <c r="V1072" s="1293"/>
      <c r="W1072" s="1293"/>
      <c r="X1072" s="1293"/>
      <c r="Y1072" s="1293"/>
      <c r="Z1072" s="1293"/>
      <c r="AA1072" s="1293"/>
      <c r="AB1072" s="1293"/>
      <c r="AC1072" s="1293"/>
      <c r="AD1072" s="1293"/>
      <c r="AE1072" s="1293"/>
      <c r="AF1072" s="1293"/>
      <c r="AG1072" s="1293"/>
      <c r="AH1072" s="1293"/>
      <c r="AI1072" s="1293"/>
      <c r="AJ1072" s="1293"/>
      <c r="AK1072" s="1293"/>
      <c r="AL1072" s="1293"/>
      <c r="AM1072" s="1293"/>
      <c r="AN1072" s="1293"/>
      <c r="AO1072" s="1293"/>
      <c r="AP1072" s="1293"/>
      <c r="AQ1072" s="1293"/>
      <c r="AR1072" s="1293"/>
      <c r="AS1072" s="14"/>
      <c r="AT1072" s="68"/>
      <c r="AV1072" s="68"/>
      <c r="AW1072" s="68"/>
      <c r="AX1072" s="68"/>
      <c r="AY1072" s="68"/>
    </row>
    <row r="1073" spans="1:51" ht="12.95" customHeight="1">
      <c r="A1073" s="1"/>
      <c r="B1073" s="1"/>
      <c r="C1073" s="1378"/>
      <c r="D1073" s="1378"/>
      <c r="E1073" s="1293"/>
      <c r="F1073" s="1293"/>
      <c r="G1073" s="1293"/>
      <c r="H1073" s="1293"/>
      <c r="I1073" s="1293"/>
      <c r="J1073" s="1293"/>
      <c r="K1073" s="1293"/>
      <c r="L1073" s="1293"/>
      <c r="M1073" s="1293"/>
      <c r="N1073" s="1293"/>
      <c r="O1073" s="1293"/>
      <c r="P1073" s="1293"/>
      <c r="Q1073" s="1293"/>
      <c r="R1073" s="1293"/>
      <c r="S1073" s="1293"/>
      <c r="T1073" s="1293"/>
      <c r="U1073" s="1293"/>
      <c r="V1073" s="1293"/>
      <c r="W1073" s="1293"/>
      <c r="X1073" s="1293"/>
      <c r="Y1073" s="1293"/>
      <c r="Z1073" s="1293"/>
      <c r="AA1073" s="1293"/>
      <c r="AB1073" s="1293"/>
      <c r="AC1073" s="1293"/>
      <c r="AD1073" s="1293"/>
      <c r="AE1073" s="1293"/>
      <c r="AF1073" s="1293"/>
      <c r="AG1073" s="1293"/>
      <c r="AH1073" s="1293"/>
      <c r="AI1073" s="1293"/>
      <c r="AJ1073" s="1293"/>
      <c r="AK1073" s="1293"/>
      <c r="AL1073" s="1293"/>
      <c r="AM1073" s="1293"/>
      <c r="AN1073" s="1293"/>
      <c r="AO1073" s="1293"/>
      <c r="AP1073" s="1293"/>
      <c r="AQ1073" s="1293"/>
      <c r="AR1073" s="1293"/>
      <c r="AS1073" s="14"/>
      <c r="AT1073" s="68"/>
      <c r="AV1073" s="68"/>
      <c r="AW1073" s="68"/>
      <c r="AX1073" s="68"/>
      <c r="AY1073" s="68"/>
    </row>
    <row r="1074" spans="1:51" ht="12.95" customHeight="1">
      <c r="A1074" s="2"/>
      <c r="B1074" s="25"/>
      <c r="C1074" s="1378"/>
      <c r="D1074" s="1378"/>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2.95" customHeight="1">
      <c r="A1075" s="1379" t="s">
        <v>591</v>
      </c>
      <c r="B1075" s="1379"/>
      <c r="C1075" s="1378">
        <v>4</v>
      </c>
      <c r="D1075" s="1378"/>
      <c r="E1075" s="1293" t="s">
        <v>1078</v>
      </c>
      <c r="F1075" s="1293"/>
      <c r="G1075" s="1293"/>
      <c r="H1075" s="1293"/>
      <c r="I1075" s="1293"/>
      <c r="J1075" s="1293"/>
      <c r="K1075" s="1293"/>
      <c r="L1075" s="1293"/>
      <c r="M1075" s="1293"/>
      <c r="N1075" s="1293"/>
      <c r="O1075" s="1293"/>
      <c r="P1075" s="1293"/>
      <c r="Q1075" s="1293"/>
      <c r="R1075" s="1293"/>
      <c r="S1075" s="1293"/>
      <c r="T1075" s="1293"/>
      <c r="U1075" s="1293"/>
      <c r="V1075" s="1293"/>
      <c r="W1075" s="1293"/>
      <c r="X1075" s="1293"/>
      <c r="Y1075" s="1293"/>
      <c r="Z1075" s="1293"/>
      <c r="AA1075" s="1293"/>
      <c r="AB1075" s="1293"/>
      <c r="AC1075" s="1293"/>
      <c r="AD1075" s="1293"/>
      <c r="AE1075" s="1293"/>
      <c r="AF1075" s="1293"/>
      <c r="AG1075" s="1293"/>
      <c r="AH1075" s="1293"/>
      <c r="AI1075" s="1293"/>
      <c r="AJ1075" s="1293"/>
      <c r="AK1075" s="1293"/>
      <c r="AL1075" s="1293"/>
      <c r="AM1075" s="1293"/>
      <c r="AN1075" s="1293"/>
      <c r="AO1075" s="1293"/>
      <c r="AP1075" s="1293"/>
      <c r="AQ1075" s="1293"/>
      <c r="AR1075" s="1293"/>
      <c r="AS1075" s="14"/>
      <c r="AT1075" s="68"/>
    </row>
    <row r="1076" spans="1:51" ht="12.95" customHeight="1">
      <c r="A1076" s="1"/>
      <c r="B1076" s="1"/>
      <c r="C1076" s="1378"/>
      <c r="D1076" s="1378"/>
      <c r="E1076" s="1293"/>
      <c r="F1076" s="1293"/>
      <c r="G1076" s="1293"/>
      <c r="H1076" s="1293"/>
      <c r="I1076" s="1293"/>
      <c r="J1076" s="1293"/>
      <c r="K1076" s="1293"/>
      <c r="L1076" s="1293"/>
      <c r="M1076" s="1293"/>
      <c r="N1076" s="1293"/>
      <c r="O1076" s="1293"/>
      <c r="P1076" s="1293"/>
      <c r="Q1076" s="1293"/>
      <c r="R1076" s="1293"/>
      <c r="S1076" s="1293"/>
      <c r="T1076" s="1293"/>
      <c r="U1076" s="1293"/>
      <c r="V1076" s="1293"/>
      <c r="W1076" s="1293"/>
      <c r="X1076" s="1293"/>
      <c r="Y1076" s="1293"/>
      <c r="Z1076" s="1293"/>
      <c r="AA1076" s="1293"/>
      <c r="AB1076" s="1293"/>
      <c r="AC1076" s="1293"/>
      <c r="AD1076" s="1293"/>
      <c r="AE1076" s="1293"/>
      <c r="AF1076" s="1293"/>
      <c r="AG1076" s="1293"/>
      <c r="AH1076" s="1293"/>
      <c r="AI1076" s="1293"/>
      <c r="AJ1076" s="1293"/>
      <c r="AK1076" s="1293"/>
      <c r="AL1076" s="1293"/>
      <c r="AM1076" s="1293"/>
      <c r="AN1076" s="1293"/>
      <c r="AO1076" s="1293"/>
      <c r="AP1076" s="1293"/>
      <c r="AQ1076" s="1293"/>
      <c r="AR1076" s="1293"/>
      <c r="AS1076" s="14"/>
      <c r="AT1076" s="68"/>
    </row>
    <row r="1077" spans="1:51" ht="12.95" customHeight="1">
      <c r="A1077" s="1"/>
      <c r="B1077" s="1"/>
      <c r="C1077" s="1378"/>
      <c r="D1077" s="1378"/>
      <c r="E1077" s="1293"/>
      <c r="F1077" s="1293"/>
      <c r="G1077" s="1293"/>
      <c r="H1077" s="1293"/>
      <c r="I1077" s="1293"/>
      <c r="J1077" s="1293"/>
      <c r="K1077" s="1293"/>
      <c r="L1077" s="1293"/>
      <c r="M1077" s="1293"/>
      <c r="N1077" s="1293"/>
      <c r="O1077" s="1293"/>
      <c r="P1077" s="1293"/>
      <c r="Q1077" s="1293"/>
      <c r="R1077" s="1293"/>
      <c r="S1077" s="1293"/>
      <c r="T1077" s="1293"/>
      <c r="U1077" s="1293"/>
      <c r="V1077" s="1293"/>
      <c r="W1077" s="1293"/>
      <c r="X1077" s="1293"/>
      <c r="Y1077" s="1293"/>
      <c r="Z1077" s="1293"/>
      <c r="AA1077" s="1293"/>
      <c r="AB1077" s="1293"/>
      <c r="AC1077" s="1293"/>
      <c r="AD1077" s="1293"/>
      <c r="AE1077" s="1293"/>
      <c r="AF1077" s="1293"/>
      <c r="AG1077" s="1293"/>
      <c r="AH1077" s="1293"/>
      <c r="AI1077" s="1293"/>
      <c r="AJ1077" s="1293"/>
      <c r="AK1077" s="1293"/>
      <c r="AL1077" s="1293"/>
      <c r="AM1077" s="1293"/>
      <c r="AN1077" s="1293"/>
      <c r="AO1077" s="1293"/>
      <c r="AP1077" s="1293"/>
      <c r="AQ1077" s="1293"/>
      <c r="AR1077" s="1293"/>
      <c r="AS1077" s="14"/>
      <c r="AT1077" s="68"/>
    </row>
    <row r="1078" spans="1:51" ht="12.95" customHeight="1">
      <c r="A1078" s="1"/>
      <c r="B1078" s="1"/>
      <c r="C1078" s="1378"/>
      <c r="D1078" s="1378"/>
      <c r="E1078" s="1293"/>
      <c r="F1078" s="1293"/>
      <c r="G1078" s="1293"/>
      <c r="H1078" s="1293"/>
      <c r="I1078" s="1293"/>
      <c r="J1078" s="1293"/>
      <c r="K1078" s="1293"/>
      <c r="L1078" s="1293"/>
      <c r="M1078" s="1293"/>
      <c r="N1078" s="1293"/>
      <c r="O1078" s="1293"/>
      <c r="P1078" s="1293"/>
      <c r="Q1078" s="1293"/>
      <c r="R1078" s="1293"/>
      <c r="S1078" s="1293"/>
      <c r="T1078" s="1293"/>
      <c r="U1078" s="1293"/>
      <c r="V1078" s="1293"/>
      <c r="W1078" s="1293"/>
      <c r="X1078" s="1293"/>
      <c r="Y1078" s="1293"/>
      <c r="Z1078" s="1293"/>
      <c r="AA1078" s="1293"/>
      <c r="AB1078" s="1293"/>
      <c r="AC1078" s="1293"/>
      <c r="AD1078" s="1293"/>
      <c r="AE1078" s="1293"/>
      <c r="AF1078" s="1293"/>
      <c r="AG1078" s="1293"/>
      <c r="AH1078" s="1293"/>
      <c r="AI1078" s="1293"/>
      <c r="AJ1078" s="1293"/>
      <c r="AK1078" s="1293"/>
      <c r="AL1078" s="1293"/>
      <c r="AM1078" s="1293"/>
      <c r="AN1078" s="1293"/>
      <c r="AO1078" s="1293"/>
      <c r="AP1078" s="1293"/>
      <c r="AQ1078" s="1293"/>
      <c r="AR1078" s="1293"/>
      <c r="AS1078" s="14"/>
      <c r="AT1078" s="68"/>
    </row>
    <row r="1079" spans="1:51" ht="12.95" customHeight="1">
      <c r="A1079" s="1"/>
      <c r="B1079" s="1"/>
      <c r="C1079" s="1378"/>
      <c r="D1079" s="1378"/>
      <c r="E1079" s="1293"/>
      <c r="F1079" s="1293"/>
      <c r="G1079" s="1293"/>
      <c r="H1079" s="1293"/>
      <c r="I1079" s="1293"/>
      <c r="J1079" s="1293"/>
      <c r="K1079" s="1293"/>
      <c r="L1079" s="1293"/>
      <c r="M1079" s="1293"/>
      <c r="N1079" s="1293"/>
      <c r="O1079" s="1293"/>
      <c r="P1079" s="1293"/>
      <c r="Q1079" s="1293"/>
      <c r="R1079" s="1293"/>
      <c r="S1079" s="1293"/>
      <c r="T1079" s="1293"/>
      <c r="U1079" s="1293"/>
      <c r="V1079" s="1293"/>
      <c r="W1079" s="1293"/>
      <c r="X1079" s="1293"/>
      <c r="Y1079" s="1293"/>
      <c r="Z1079" s="1293"/>
      <c r="AA1079" s="1293"/>
      <c r="AB1079" s="1293"/>
      <c r="AC1079" s="1293"/>
      <c r="AD1079" s="1293"/>
      <c r="AE1079" s="1293"/>
      <c r="AF1079" s="1293"/>
      <c r="AG1079" s="1293"/>
      <c r="AH1079" s="1293"/>
      <c r="AI1079" s="1293"/>
      <c r="AJ1079" s="1293"/>
      <c r="AK1079" s="1293"/>
      <c r="AL1079" s="1293"/>
      <c r="AM1079" s="1293"/>
      <c r="AN1079" s="1293"/>
      <c r="AO1079" s="1293"/>
      <c r="AP1079" s="1293"/>
      <c r="AQ1079" s="1293"/>
      <c r="AR1079" s="1293"/>
      <c r="AS1079" s="14"/>
      <c r="AT1079" s="68"/>
    </row>
    <row r="1080" spans="1:51" ht="12.95" customHeight="1">
      <c r="A1080" s="1"/>
      <c r="B1080" s="1"/>
      <c r="C1080" s="1378"/>
      <c r="D1080" s="1378"/>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2.95" customHeight="1">
      <c r="A1081" s="1379" t="s">
        <v>591</v>
      </c>
      <c r="B1081" s="1379"/>
      <c r="C1081" s="1378">
        <v>5</v>
      </c>
      <c r="D1081" s="1378"/>
      <c r="E1081" s="1293" t="s">
        <v>2241</v>
      </c>
      <c r="F1081" s="1293"/>
      <c r="G1081" s="1293"/>
      <c r="H1081" s="1293"/>
      <c r="I1081" s="1293"/>
      <c r="J1081" s="1293"/>
      <c r="K1081" s="1293"/>
      <c r="L1081" s="1293"/>
      <c r="M1081" s="1293"/>
      <c r="N1081" s="1293"/>
      <c r="O1081" s="1293"/>
      <c r="P1081" s="1293"/>
      <c r="Q1081" s="1293"/>
      <c r="R1081" s="1293"/>
      <c r="S1081" s="1293"/>
      <c r="T1081" s="1293"/>
      <c r="U1081" s="1293"/>
      <c r="V1081" s="1293"/>
      <c r="W1081" s="1293"/>
      <c r="X1081" s="1293"/>
      <c r="Y1081" s="1293"/>
      <c r="Z1081" s="1293"/>
      <c r="AA1081" s="1293"/>
      <c r="AB1081" s="1293"/>
      <c r="AC1081" s="1293"/>
      <c r="AD1081" s="1293"/>
      <c r="AE1081" s="1293"/>
      <c r="AF1081" s="1293"/>
      <c r="AG1081" s="1293"/>
      <c r="AH1081" s="1293"/>
      <c r="AI1081" s="1293"/>
      <c r="AJ1081" s="1293"/>
      <c r="AK1081" s="1293"/>
      <c r="AL1081" s="1293"/>
      <c r="AM1081" s="1293"/>
      <c r="AN1081" s="1293"/>
      <c r="AO1081" s="1293"/>
      <c r="AP1081" s="1293"/>
      <c r="AQ1081" s="1293"/>
      <c r="AR1081" s="1293"/>
      <c r="AS1081" s="14"/>
    </row>
    <row r="1082" spans="1:51" ht="12.95" customHeight="1">
      <c r="A1082" s="4"/>
      <c r="B1082" s="4"/>
      <c r="C1082" s="1378"/>
      <c r="D1082" s="1378"/>
      <c r="E1082" s="1293"/>
      <c r="F1082" s="1293"/>
      <c r="G1082" s="1293"/>
      <c r="H1082" s="1293"/>
      <c r="I1082" s="1293"/>
      <c r="J1082" s="1293"/>
      <c r="K1082" s="1293"/>
      <c r="L1082" s="1293"/>
      <c r="M1082" s="1293"/>
      <c r="N1082" s="1293"/>
      <c r="O1082" s="1293"/>
      <c r="P1082" s="1293"/>
      <c r="Q1082" s="1293"/>
      <c r="R1082" s="1293"/>
      <c r="S1082" s="1293"/>
      <c r="T1082" s="1293"/>
      <c r="U1082" s="1293"/>
      <c r="V1082" s="1293"/>
      <c r="W1082" s="1293"/>
      <c r="X1082" s="1293"/>
      <c r="Y1082" s="1293"/>
      <c r="Z1082" s="1293"/>
      <c r="AA1082" s="1293"/>
      <c r="AB1082" s="1293"/>
      <c r="AC1082" s="1293"/>
      <c r="AD1082" s="1293"/>
      <c r="AE1082" s="1293"/>
      <c r="AF1082" s="1293"/>
      <c r="AG1082" s="1293"/>
      <c r="AH1082" s="1293"/>
      <c r="AI1082" s="1293"/>
      <c r="AJ1082" s="1293"/>
      <c r="AK1082" s="1293"/>
      <c r="AL1082" s="1293"/>
      <c r="AM1082" s="1293"/>
      <c r="AN1082" s="1293"/>
      <c r="AO1082" s="1293"/>
      <c r="AP1082" s="1293"/>
      <c r="AQ1082" s="1293"/>
      <c r="AR1082" s="1293"/>
      <c r="AS1082" s="14"/>
    </row>
    <row r="1083" spans="1:51" ht="12.95" customHeight="1">
      <c r="A1083" s="4"/>
      <c r="B1083" s="4"/>
      <c r="C1083" s="1378"/>
      <c r="D1083" s="1378"/>
      <c r="E1083" s="1293"/>
      <c r="F1083" s="1293"/>
      <c r="G1083" s="1293"/>
      <c r="H1083" s="1293"/>
      <c r="I1083" s="1293"/>
      <c r="J1083" s="1293"/>
      <c r="K1083" s="1293"/>
      <c r="L1083" s="1293"/>
      <c r="M1083" s="1293"/>
      <c r="N1083" s="1293"/>
      <c r="O1083" s="1293"/>
      <c r="P1083" s="1293"/>
      <c r="Q1083" s="1293"/>
      <c r="R1083" s="1293"/>
      <c r="S1083" s="1293"/>
      <c r="T1083" s="1293"/>
      <c r="U1083" s="1293"/>
      <c r="V1083" s="1293"/>
      <c r="W1083" s="1293"/>
      <c r="X1083" s="1293"/>
      <c r="Y1083" s="1293"/>
      <c r="Z1083" s="1293"/>
      <c r="AA1083" s="1293"/>
      <c r="AB1083" s="1293"/>
      <c r="AC1083" s="1293"/>
      <c r="AD1083" s="1293"/>
      <c r="AE1083" s="1293"/>
      <c r="AF1083" s="1293"/>
      <c r="AG1083" s="1293"/>
      <c r="AH1083" s="1293"/>
      <c r="AI1083" s="1293"/>
      <c r="AJ1083" s="1293"/>
      <c r="AK1083" s="1293"/>
      <c r="AL1083" s="1293"/>
      <c r="AM1083" s="1293"/>
      <c r="AN1083" s="1293"/>
      <c r="AO1083" s="1293"/>
      <c r="AP1083" s="1293"/>
      <c r="AQ1083" s="1293"/>
      <c r="AR1083" s="1293"/>
      <c r="AS1083" s="14"/>
    </row>
    <row r="1084" spans="1:51" ht="12.95" customHeight="1">
      <c r="A1084" s="35"/>
      <c r="B1084" s="25"/>
      <c r="C1084" s="1378"/>
      <c r="D1084" s="1378"/>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2.95" customHeight="1">
      <c r="A1085" s="1379" t="s">
        <v>591</v>
      </c>
      <c r="B1085" s="1379"/>
      <c r="C1085" s="1378">
        <v>6</v>
      </c>
      <c r="D1085" s="1378"/>
      <c r="E1085" s="1293" t="s">
        <v>2242</v>
      </c>
      <c r="F1085" s="1293"/>
      <c r="G1085" s="1293"/>
      <c r="H1085" s="1293"/>
      <c r="I1085" s="1293"/>
      <c r="J1085" s="1293"/>
      <c r="K1085" s="1293"/>
      <c r="L1085" s="1293"/>
      <c r="M1085" s="1293"/>
      <c r="N1085" s="1293"/>
      <c r="O1085" s="1293"/>
      <c r="P1085" s="1293"/>
      <c r="Q1085" s="1293"/>
      <c r="R1085" s="1293"/>
      <c r="S1085" s="1293"/>
      <c r="T1085" s="1293"/>
      <c r="U1085" s="1293"/>
      <c r="V1085" s="1293"/>
      <c r="W1085" s="1293"/>
      <c r="X1085" s="1293"/>
      <c r="Y1085" s="1293"/>
      <c r="Z1085" s="1293"/>
      <c r="AA1085" s="1293"/>
      <c r="AB1085" s="1293"/>
      <c r="AC1085" s="1293"/>
      <c r="AD1085" s="1293"/>
      <c r="AE1085" s="1293"/>
      <c r="AF1085" s="1293"/>
      <c r="AG1085" s="1293"/>
      <c r="AH1085" s="1293"/>
      <c r="AI1085" s="1293"/>
      <c r="AJ1085" s="1293"/>
      <c r="AK1085" s="1293"/>
      <c r="AL1085" s="1293"/>
      <c r="AM1085" s="1293"/>
      <c r="AN1085" s="1293"/>
      <c r="AO1085" s="1293"/>
      <c r="AP1085" s="1293"/>
      <c r="AQ1085" s="1293"/>
      <c r="AR1085" s="1293"/>
      <c r="AS1085" s="14"/>
    </row>
    <row r="1086" spans="1:51" ht="12.95" customHeight="1">
      <c r="A1086" s="1"/>
      <c r="B1086" s="1"/>
      <c r="C1086" s="1"/>
      <c r="D1086" s="1"/>
      <c r="E1086" s="1293"/>
      <c r="F1086" s="1293"/>
      <c r="G1086" s="1293"/>
      <c r="H1086" s="1293"/>
      <c r="I1086" s="1293"/>
      <c r="J1086" s="1293"/>
      <c r="K1086" s="1293"/>
      <c r="L1086" s="1293"/>
      <c r="M1086" s="1293"/>
      <c r="N1086" s="1293"/>
      <c r="O1086" s="1293"/>
      <c r="P1086" s="1293"/>
      <c r="Q1086" s="1293"/>
      <c r="R1086" s="1293"/>
      <c r="S1086" s="1293"/>
      <c r="T1086" s="1293"/>
      <c r="U1086" s="1293"/>
      <c r="V1086" s="1293"/>
      <c r="W1086" s="1293"/>
      <c r="X1086" s="1293"/>
      <c r="Y1086" s="1293"/>
      <c r="Z1086" s="1293"/>
      <c r="AA1086" s="1293"/>
      <c r="AB1086" s="1293"/>
      <c r="AC1086" s="1293"/>
      <c r="AD1086" s="1293"/>
      <c r="AE1086" s="1293"/>
      <c r="AF1086" s="1293"/>
      <c r="AG1086" s="1293"/>
      <c r="AH1086" s="1293"/>
      <c r="AI1086" s="1293"/>
      <c r="AJ1086" s="1293"/>
      <c r="AK1086" s="1293"/>
      <c r="AL1086" s="1293"/>
      <c r="AM1086" s="1293"/>
      <c r="AN1086" s="1293"/>
      <c r="AO1086" s="1293"/>
      <c r="AP1086" s="1293"/>
      <c r="AQ1086" s="1293"/>
      <c r="AR1086" s="1293"/>
      <c r="AS1086" s="14"/>
    </row>
    <row r="1087" spans="1:51" ht="12.95" customHeight="1">
      <c r="A1087" s="1"/>
      <c r="B1087" s="1"/>
      <c r="C1087" s="1378"/>
      <c r="D1087" s="1378"/>
      <c r="E1087" s="1293"/>
      <c r="F1087" s="1293"/>
      <c r="G1087" s="1293"/>
      <c r="H1087" s="1293"/>
      <c r="I1087" s="1293"/>
      <c r="J1087" s="1293"/>
      <c r="K1087" s="1293"/>
      <c r="L1087" s="1293"/>
      <c r="M1087" s="1293"/>
      <c r="N1087" s="1293"/>
      <c r="O1087" s="1293"/>
      <c r="P1087" s="1293"/>
      <c r="Q1087" s="1293"/>
      <c r="R1087" s="1293"/>
      <c r="S1087" s="1293"/>
      <c r="T1087" s="1293"/>
      <c r="U1087" s="1293"/>
      <c r="V1087" s="1293"/>
      <c r="W1087" s="1293"/>
      <c r="X1087" s="1293"/>
      <c r="Y1087" s="1293"/>
      <c r="Z1087" s="1293"/>
      <c r="AA1087" s="1293"/>
      <c r="AB1087" s="1293"/>
      <c r="AC1087" s="1293"/>
      <c r="AD1087" s="1293"/>
      <c r="AE1087" s="1293"/>
      <c r="AF1087" s="1293"/>
      <c r="AG1087" s="1293"/>
      <c r="AH1087" s="1293"/>
      <c r="AI1087" s="1293"/>
      <c r="AJ1087" s="1293"/>
      <c r="AK1087" s="1293"/>
      <c r="AL1087" s="1293"/>
      <c r="AM1087" s="1293"/>
      <c r="AN1087" s="1293"/>
      <c r="AO1087" s="1293"/>
      <c r="AP1087" s="1293"/>
      <c r="AQ1087" s="1293"/>
      <c r="AR1087" s="1293"/>
      <c r="AS1087" s="14"/>
    </row>
    <row r="1088" spans="1:51" ht="12.95" customHeight="1">
      <c r="A1088" s="35"/>
      <c r="B1088" s="25"/>
      <c r="C1088" s="1378"/>
      <c r="D1088" s="1378"/>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2.95" customHeight="1">
      <c r="A1089" s="1379" t="s">
        <v>591</v>
      </c>
      <c r="B1089" s="1379"/>
      <c r="C1089" s="1378">
        <v>7</v>
      </c>
      <c r="D1089" s="1378"/>
      <c r="E1089" s="1293" t="s">
        <v>2138</v>
      </c>
      <c r="F1089" s="1293"/>
      <c r="G1089" s="1293"/>
      <c r="H1089" s="1293"/>
      <c r="I1089" s="1293"/>
      <c r="J1089" s="1293"/>
      <c r="K1089" s="1293"/>
      <c r="L1089" s="1293"/>
      <c r="M1089" s="1293"/>
      <c r="N1089" s="1293"/>
      <c r="O1089" s="1293"/>
      <c r="P1089" s="1293"/>
      <c r="Q1089" s="1293"/>
      <c r="R1089" s="1293"/>
      <c r="S1089" s="1293"/>
      <c r="T1089" s="1293"/>
      <c r="U1089" s="1293"/>
      <c r="V1089" s="1293"/>
      <c r="W1089" s="1293"/>
      <c r="X1089" s="1293"/>
      <c r="Y1089" s="1293"/>
      <c r="Z1089" s="1293"/>
      <c r="AA1089" s="1293"/>
      <c r="AB1089" s="1293"/>
      <c r="AC1089" s="1293"/>
      <c r="AD1089" s="1293"/>
      <c r="AE1089" s="1293"/>
      <c r="AF1089" s="1293"/>
      <c r="AG1089" s="1293"/>
      <c r="AH1089" s="1293"/>
      <c r="AI1089" s="1293"/>
      <c r="AJ1089" s="1293"/>
      <c r="AK1089" s="1293"/>
      <c r="AL1089" s="1293"/>
      <c r="AM1089" s="1293"/>
      <c r="AN1089" s="1293"/>
      <c r="AO1089" s="1293"/>
      <c r="AP1089" s="1293"/>
      <c r="AQ1089" s="1293"/>
      <c r="AR1089" s="1293"/>
      <c r="AS1089" s="14"/>
    </row>
    <row r="1090" spans="1:45" ht="12.95" customHeight="1">
      <c r="A1090" s="1"/>
      <c r="B1090" s="1"/>
      <c r="C1090" s="1378"/>
      <c r="D1090" s="1378"/>
      <c r="E1090" s="1293"/>
      <c r="F1090" s="1293"/>
      <c r="G1090" s="1293"/>
      <c r="H1090" s="1293"/>
      <c r="I1090" s="1293"/>
      <c r="J1090" s="1293"/>
      <c r="K1090" s="1293"/>
      <c r="L1090" s="1293"/>
      <c r="M1090" s="1293"/>
      <c r="N1090" s="1293"/>
      <c r="O1090" s="1293"/>
      <c r="P1090" s="1293"/>
      <c r="Q1090" s="1293"/>
      <c r="R1090" s="1293"/>
      <c r="S1090" s="1293"/>
      <c r="T1090" s="1293"/>
      <c r="U1090" s="1293"/>
      <c r="V1090" s="1293"/>
      <c r="W1090" s="1293"/>
      <c r="X1090" s="1293"/>
      <c r="Y1090" s="1293"/>
      <c r="Z1090" s="1293"/>
      <c r="AA1090" s="1293"/>
      <c r="AB1090" s="1293"/>
      <c r="AC1090" s="1293"/>
      <c r="AD1090" s="1293"/>
      <c r="AE1090" s="1293"/>
      <c r="AF1090" s="1293"/>
      <c r="AG1090" s="1293"/>
      <c r="AH1090" s="1293"/>
      <c r="AI1090" s="1293"/>
      <c r="AJ1090" s="1293"/>
      <c r="AK1090" s="1293"/>
      <c r="AL1090" s="1293"/>
      <c r="AM1090" s="1293"/>
      <c r="AN1090" s="1293"/>
      <c r="AO1090" s="1293"/>
      <c r="AP1090" s="1293"/>
      <c r="AQ1090" s="1293"/>
      <c r="AR1090" s="1293"/>
      <c r="AS1090" s="14"/>
    </row>
    <row r="1091" spans="1:45" ht="12.95" customHeight="1">
      <c r="A1091" s="1"/>
      <c r="B1091" s="1"/>
      <c r="C1091" s="1378"/>
      <c r="D1091" s="1378"/>
      <c r="E1091" s="1293"/>
      <c r="F1091" s="1293"/>
      <c r="G1091" s="1293"/>
      <c r="H1091" s="1293"/>
      <c r="I1091" s="1293"/>
      <c r="J1091" s="1293"/>
      <c r="K1091" s="1293"/>
      <c r="L1091" s="1293"/>
      <c r="M1091" s="1293"/>
      <c r="N1091" s="1293"/>
      <c r="O1091" s="1293"/>
      <c r="P1091" s="1293"/>
      <c r="Q1091" s="1293"/>
      <c r="R1091" s="1293"/>
      <c r="S1091" s="1293"/>
      <c r="T1091" s="1293"/>
      <c r="U1091" s="1293"/>
      <c r="V1091" s="1293"/>
      <c r="W1091" s="1293"/>
      <c r="X1091" s="1293"/>
      <c r="Y1091" s="1293"/>
      <c r="Z1091" s="1293"/>
      <c r="AA1091" s="1293"/>
      <c r="AB1091" s="1293"/>
      <c r="AC1091" s="1293"/>
      <c r="AD1091" s="1293"/>
      <c r="AE1091" s="1293"/>
      <c r="AF1091" s="1293"/>
      <c r="AG1091" s="1293"/>
      <c r="AH1091" s="1293"/>
      <c r="AI1091" s="1293"/>
      <c r="AJ1091" s="1293"/>
      <c r="AK1091" s="1293"/>
      <c r="AL1091" s="1293"/>
      <c r="AM1091" s="1293"/>
      <c r="AN1091" s="1293"/>
      <c r="AO1091" s="1293"/>
      <c r="AP1091" s="1293"/>
      <c r="AQ1091" s="1293"/>
      <c r="AR1091" s="1293"/>
      <c r="AS1091" s="14"/>
    </row>
    <row r="1092" spans="1:45" ht="12.95" customHeight="1">
      <c r="A1092" s="1"/>
      <c r="B1092" s="1"/>
      <c r="C1092" s="1378"/>
      <c r="D1092" s="1378"/>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2.95" customHeight="1">
      <c r="A1093" s="35"/>
      <c r="B1093" s="25"/>
      <c r="C1093" s="1378"/>
      <c r="D1093" s="1378"/>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2.95" customHeight="1">
      <c r="A1094" s="1379" t="s">
        <v>591</v>
      </c>
      <c r="B1094" s="1379"/>
      <c r="C1094" s="1378">
        <v>8</v>
      </c>
      <c r="D1094" s="1378"/>
      <c r="E1094" s="1293" t="s">
        <v>1072</v>
      </c>
      <c r="F1094" s="1293"/>
      <c r="G1094" s="1293"/>
      <c r="H1094" s="1293"/>
      <c r="I1094" s="1293"/>
      <c r="J1094" s="1293"/>
      <c r="K1094" s="1293"/>
      <c r="L1094" s="1293"/>
      <c r="M1094" s="1293"/>
      <c r="N1094" s="1293"/>
      <c r="O1094" s="1293"/>
      <c r="P1094" s="1293"/>
      <c r="Q1094" s="1293"/>
      <c r="R1094" s="1293"/>
      <c r="S1094" s="1293"/>
      <c r="T1094" s="1293"/>
      <c r="U1094" s="1293"/>
      <c r="V1094" s="1293"/>
      <c r="W1094" s="1293"/>
      <c r="X1094" s="1293"/>
      <c r="Y1094" s="1293"/>
      <c r="Z1094" s="1293"/>
      <c r="AA1094" s="1293"/>
      <c r="AB1094" s="1293"/>
      <c r="AC1094" s="1293"/>
      <c r="AD1094" s="1293"/>
      <c r="AE1094" s="1293"/>
      <c r="AF1094" s="1293"/>
      <c r="AG1094" s="1293"/>
      <c r="AH1094" s="1293"/>
      <c r="AI1094" s="1293"/>
      <c r="AJ1094" s="1293"/>
      <c r="AK1094" s="1293"/>
      <c r="AL1094" s="1293"/>
      <c r="AM1094" s="1293"/>
      <c r="AN1094" s="1293"/>
      <c r="AO1094" s="1293"/>
      <c r="AP1094" s="1293"/>
      <c r="AQ1094" s="1293"/>
      <c r="AR1094" s="1293"/>
    </row>
    <row r="1095" spans="1:45" ht="12.95" customHeight="1">
      <c r="A1095" s="35"/>
      <c r="B1095" s="25"/>
      <c r="C1095" s="1378"/>
      <c r="D1095" s="1378"/>
      <c r="E1095" s="1293"/>
      <c r="F1095" s="1293"/>
      <c r="G1095" s="1293"/>
      <c r="H1095" s="1293"/>
      <c r="I1095" s="1293"/>
      <c r="J1095" s="1293"/>
      <c r="K1095" s="1293"/>
      <c r="L1095" s="1293"/>
      <c r="M1095" s="1293"/>
      <c r="N1095" s="1293"/>
      <c r="O1095" s="1293"/>
      <c r="P1095" s="1293"/>
      <c r="Q1095" s="1293"/>
      <c r="R1095" s="1293"/>
      <c r="S1095" s="1293"/>
      <c r="T1095" s="1293"/>
      <c r="U1095" s="1293"/>
      <c r="V1095" s="1293"/>
      <c r="W1095" s="1293"/>
      <c r="X1095" s="1293"/>
      <c r="Y1095" s="1293"/>
      <c r="Z1095" s="1293"/>
      <c r="AA1095" s="1293"/>
      <c r="AB1095" s="1293"/>
      <c r="AC1095" s="1293"/>
      <c r="AD1095" s="1293"/>
      <c r="AE1095" s="1293"/>
      <c r="AF1095" s="1293"/>
      <c r="AG1095" s="1293"/>
      <c r="AH1095" s="1293"/>
      <c r="AI1095" s="1293"/>
      <c r="AJ1095" s="1293"/>
      <c r="AK1095" s="1293"/>
      <c r="AL1095" s="1293"/>
      <c r="AM1095" s="1293"/>
      <c r="AN1095" s="1293"/>
      <c r="AO1095" s="1293"/>
      <c r="AP1095" s="1293"/>
      <c r="AQ1095" s="1293"/>
      <c r="AR1095" s="1293"/>
    </row>
    <row r="1096" spans="1:45" ht="12.95" customHeight="1">
      <c r="A1096" s="35"/>
      <c r="B1096" s="25"/>
      <c r="C1096" s="1378"/>
      <c r="D1096" s="1378"/>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2.95" customHeight="1">
      <c r="A1097" s="1379" t="s">
        <v>591</v>
      </c>
      <c r="B1097" s="1379"/>
      <c r="C1097" s="1380">
        <v>9</v>
      </c>
      <c r="D1097" s="1380"/>
      <c r="E1097" s="1293" t="s">
        <v>1074</v>
      </c>
      <c r="F1097" s="1293"/>
      <c r="G1097" s="1293"/>
      <c r="H1097" s="1293"/>
      <c r="I1097" s="1293"/>
      <c r="J1097" s="1293"/>
      <c r="K1097" s="1293"/>
      <c r="L1097" s="1293"/>
      <c r="M1097" s="1293"/>
      <c r="N1097" s="1293"/>
      <c r="O1097" s="1293"/>
      <c r="P1097" s="1293"/>
      <c r="Q1097" s="1293"/>
      <c r="R1097" s="1293"/>
      <c r="S1097" s="1293"/>
      <c r="T1097" s="1293"/>
      <c r="U1097" s="1293"/>
      <c r="V1097" s="1293"/>
      <c r="W1097" s="1293"/>
      <c r="X1097" s="1293"/>
      <c r="Y1097" s="1293"/>
      <c r="Z1097" s="1293"/>
      <c r="AA1097" s="1293"/>
      <c r="AB1097" s="1293"/>
      <c r="AC1097" s="1293"/>
      <c r="AD1097" s="1293"/>
      <c r="AE1097" s="1293"/>
      <c r="AF1097" s="1293"/>
      <c r="AG1097" s="1293"/>
      <c r="AH1097" s="1293"/>
      <c r="AI1097" s="1293"/>
      <c r="AJ1097" s="1293"/>
      <c r="AK1097" s="1293"/>
      <c r="AL1097" s="1293"/>
      <c r="AM1097" s="1293"/>
      <c r="AN1097" s="1293"/>
      <c r="AO1097" s="1293"/>
      <c r="AP1097" s="1293"/>
      <c r="AQ1097" s="1293"/>
      <c r="AR1097" s="1293"/>
    </row>
    <row r="1098" spans="1:45" ht="12.95" customHeight="1">
      <c r="A1098" s="1"/>
      <c r="B1098" s="1"/>
      <c r="C1098" s="1380"/>
      <c r="D1098" s="1380"/>
      <c r="E1098" s="1293"/>
      <c r="F1098" s="1293"/>
      <c r="G1098" s="1293"/>
      <c r="H1098" s="1293"/>
      <c r="I1098" s="1293"/>
      <c r="J1098" s="1293"/>
      <c r="K1098" s="1293"/>
      <c r="L1098" s="1293"/>
      <c r="M1098" s="1293"/>
      <c r="N1098" s="1293"/>
      <c r="O1098" s="1293"/>
      <c r="P1098" s="1293"/>
      <c r="Q1098" s="1293"/>
      <c r="R1098" s="1293"/>
      <c r="S1098" s="1293"/>
      <c r="T1098" s="1293"/>
      <c r="U1098" s="1293"/>
      <c r="V1098" s="1293"/>
      <c r="W1098" s="1293"/>
      <c r="X1098" s="1293"/>
      <c r="Y1098" s="1293"/>
      <c r="Z1098" s="1293"/>
      <c r="AA1098" s="1293"/>
      <c r="AB1098" s="1293"/>
      <c r="AC1098" s="1293"/>
      <c r="AD1098" s="1293"/>
      <c r="AE1098" s="1293"/>
      <c r="AF1098" s="1293"/>
      <c r="AG1098" s="1293"/>
      <c r="AH1098" s="1293"/>
      <c r="AI1098" s="1293"/>
      <c r="AJ1098" s="1293"/>
      <c r="AK1098" s="1293"/>
      <c r="AL1098" s="1293"/>
      <c r="AM1098" s="1293"/>
      <c r="AN1098" s="1293"/>
      <c r="AO1098" s="1293"/>
      <c r="AP1098" s="1293"/>
      <c r="AQ1098" s="1293"/>
      <c r="AR1098" s="1293"/>
    </row>
    <row r="1099" spans="1:45" ht="12.95" customHeight="1">
      <c r="A1099" s="35"/>
      <c r="B1099" s="25"/>
      <c r="C1099" s="1380"/>
      <c r="D1099" s="1380"/>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2.95" customHeight="1">
      <c r="A1100" s="1379" t="s">
        <v>591</v>
      </c>
      <c r="B1100" s="1379"/>
      <c r="C1100" s="1380">
        <v>10</v>
      </c>
      <c r="D1100" s="1380"/>
      <c r="E1100" s="1381" t="s">
        <v>2238</v>
      </c>
      <c r="F1100" s="1381"/>
      <c r="G1100" s="1381"/>
      <c r="H1100" s="1381"/>
      <c r="I1100" s="1381"/>
      <c r="J1100" s="1381"/>
      <c r="K1100" s="1381"/>
      <c r="L1100" s="1381"/>
      <c r="M1100" s="1381"/>
      <c r="N1100" s="1381"/>
      <c r="O1100" s="1381"/>
      <c r="P1100" s="1381"/>
      <c r="Q1100" s="1381"/>
      <c r="R1100" s="1381"/>
      <c r="S1100" s="1381"/>
      <c r="T1100" s="1381"/>
      <c r="U1100" s="1381"/>
      <c r="V1100" s="1381"/>
      <c r="W1100" s="1381"/>
      <c r="X1100" s="1381"/>
      <c r="Y1100" s="1381"/>
      <c r="Z1100" s="1381"/>
      <c r="AA1100" s="1381"/>
      <c r="AB1100" s="1381"/>
      <c r="AC1100" s="1381"/>
      <c r="AD1100" s="1381"/>
      <c r="AE1100" s="1381"/>
      <c r="AF1100" s="1381"/>
      <c r="AG1100" s="1381"/>
      <c r="AH1100" s="1381"/>
      <c r="AI1100" s="1381"/>
      <c r="AJ1100" s="1381"/>
      <c r="AK1100" s="1381"/>
      <c r="AL1100" s="1381"/>
      <c r="AM1100" s="1381"/>
      <c r="AN1100" s="1381"/>
      <c r="AO1100" s="1381"/>
      <c r="AP1100" s="1381"/>
      <c r="AQ1100" s="1381"/>
      <c r="AR1100" s="1381"/>
    </row>
    <row r="1101" spans="1:45" ht="12.95" customHeight="1">
      <c r="A1101" s="1"/>
      <c r="B1101" s="1"/>
      <c r="C1101" s="199"/>
      <c r="D1101" s="1161"/>
      <c r="E1101" s="1381"/>
      <c r="F1101" s="1381"/>
      <c r="G1101" s="1381"/>
      <c r="H1101" s="1381"/>
      <c r="I1101" s="1381"/>
      <c r="J1101" s="1381"/>
      <c r="K1101" s="1381"/>
      <c r="L1101" s="1381"/>
      <c r="M1101" s="1381"/>
      <c r="N1101" s="1381"/>
      <c r="O1101" s="1381"/>
      <c r="P1101" s="1381"/>
      <c r="Q1101" s="1381"/>
      <c r="R1101" s="1381"/>
      <c r="S1101" s="1381"/>
      <c r="T1101" s="1381"/>
      <c r="U1101" s="1381"/>
      <c r="V1101" s="1381"/>
      <c r="W1101" s="1381"/>
      <c r="X1101" s="1381"/>
      <c r="Y1101" s="1381"/>
      <c r="Z1101" s="1381"/>
      <c r="AA1101" s="1381"/>
      <c r="AB1101" s="1381"/>
      <c r="AC1101" s="1381"/>
      <c r="AD1101" s="1381"/>
      <c r="AE1101" s="1381"/>
      <c r="AF1101" s="1381"/>
      <c r="AG1101" s="1381"/>
      <c r="AH1101" s="1381"/>
      <c r="AI1101" s="1381"/>
      <c r="AJ1101" s="1381"/>
      <c r="AK1101" s="1381"/>
      <c r="AL1101" s="1381"/>
      <c r="AM1101" s="1381"/>
      <c r="AN1101" s="1381"/>
      <c r="AO1101" s="1381"/>
      <c r="AP1101" s="1381"/>
      <c r="AQ1101" s="1381"/>
      <c r="AR1101" s="1381"/>
    </row>
    <row r="1102" spans="1:45" ht="12.95"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2.95" customHeight="1">
      <c r="A1103" s="1379" t="s">
        <v>591</v>
      </c>
      <c r="B1103" s="1379"/>
      <c r="C1103" s="1380">
        <v>11</v>
      </c>
      <c r="D1103" s="1380"/>
      <c r="E1103" s="1381" t="s">
        <v>2240</v>
      </c>
      <c r="F1103" s="1381"/>
      <c r="G1103" s="1381"/>
      <c r="H1103" s="1381"/>
      <c r="I1103" s="1381"/>
      <c r="J1103" s="1381"/>
      <c r="K1103" s="1381"/>
      <c r="L1103" s="1381"/>
      <c r="M1103" s="1381"/>
      <c r="N1103" s="1381"/>
      <c r="O1103" s="1381"/>
      <c r="P1103" s="1381"/>
      <c r="Q1103" s="1381"/>
      <c r="R1103" s="1381"/>
      <c r="S1103" s="1381"/>
      <c r="T1103" s="1381"/>
      <c r="U1103" s="1381"/>
      <c r="V1103" s="1381"/>
      <c r="W1103" s="1381"/>
      <c r="X1103" s="1381"/>
      <c r="Y1103" s="1381"/>
      <c r="Z1103" s="1381"/>
      <c r="AA1103" s="1381"/>
      <c r="AB1103" s="1381"/>
      <c r="AC1103" s="1381"/>
      <c r="AD1103" s="1381"/>
      <c r="AE1103" s="1381"/>
      <c r="AF1103" s="1381"/>
      <c r="AG1103" s="1381"/>
      <c r="AH1103" s="1381"/>
      <c r="AI1103" s="1381"/>
      <c r="AJ1103" s="1381"/>
      <c r="AK1103" s="1381"/>
      <c r="AL1103" s="1381"/>
      <c r="AM1103" s="1381"/>
      <c r="AN1103" s="1381"/>
      <c r="AO1103" s="1381"/>
      <c r="AP1103" s="1381"/>
      <c r="AQ1103" s="1381"/>
      <c r="AR1103" s="1381"/>
    </row>
    <row r="1104" spans="1:45" ht="12.95" customHeight="1">
      <c r="A1104" s="1"/>
      <c r="B1104" s="1"/>
      <c r="C1104" s="199"/>
      <c r="D1104" s="1161"/>
      <c r="E1104" s="1381"/>
      <c r="F1104" s="1381"/>
      <c r="G1104" s="1381"/>
      <c r="H1104" s="1381"/>
      <c r="I1104" s="1381"/>
      <c r="J1104" s="1381"/>
      <c r="K1104" s="1381"/>
      <c r="L1104" s="1381"/>
      <c r="M1104" s="1381"/>
      <c r="N1104" s="1381"/>
      <c r="O1104" s="1381"/>
      <c r="P1104" s="1381"/>
      <c r="Q1104" s="1381"/>
      <c r="R1104" s="1381"/>
      <c r="S1104" s="1381"/>
      <c r="T1104" s="1381"/>
      <c r="U1104" s="1381"/>
      <c r="V1104" s="1381"/>
      <c r="W1104" s="1381"/>
      <c r="X1104" s="1381"/>
      <c r="Y1104" s="1381"/>
      <c r="Z1104" s="1381"/>
      <c r="AA1104" s="1381"/>
      <c r="AB1104" s="1381"/>
      <c r="AC1104" s="1381"/>
      <c r="AD1104" s="1381"/>
      <c r="AE1104" s="1381"/>
      <c r="AF1104" s="1381"/>
      <c r="AG1104" s="1381"/>
      <c r="AH1104" s="1381"/>
      <c r="AI1104" s="1381"/>
      <c r="AJ1104" s="1381"/>
      <c r="AK1104" s="1381"/>
      <c r="AL1104" s="1381"/>
      <c r="AM1104" s="1381"/>
      <c r="AN1104" s="1381"/>
      <c r="AO1104" s="1381"/>
      <c r="AP1104" s="1381"/>
      <c r="AQ1104" s="1381"/>
      <c r="AR1104" s="1381"/>
    </row>
    <row r="1105" spans="1:37" ht="12.95"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2.95"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2.95"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2.95"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2.95"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2.95"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2.95"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2.95"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2.95"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2.95"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2.95"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2.95"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2.95"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2.95"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2.95"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2.95"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2.95"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2.95"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379" t="s">
        <v>591</v>
      </c>
      <c r="B1125" s="1379"/>
      <c r="C1125" s="199">
        <v>9</v>
      </c>
      <c r="D1125" s="1263" t="s">
        <v>1073</v>
      </c>
      <c r="E1125" s="1263"/>
      <c r="F1125" s="1263"/>
      <c r="G1125" s="1263"/>
      <c r="H1125" s="1263"/>
      <c r="I1125" s="1263"/>
      <c r="J1125" s="1263"/>
      <c r="K1125" s="1263"/>
      <c r="L1125" s="1263"/>
      <c r="M1125" s="1263"/>
      <c r="N1125" s="1263"/>
      <c r="O1125" s="1263"/>
      <c r="P1125" s="1263"/>
      <c r="Q1125" s="1263"/>
      <c r="R1125" s="1263"/>
      <c r="S1125" s="1263"/>
      <c r="T1125" s="1263"/>
      <c r="U1125" s="1263"/>
      <c r="V1125" s="1263"/>
      <c r="W1125" s="1263"/>
      <c r="X1125" s="1263"/>
      <c r="Y1125" s="1263"/>
      <c r="Z1125" s="1263"/>
      <c r="AA1125" s="1263"/>
      <c r="AB1125" s="1263"/>
      <c r="AC1125" s="1263"/>
      <c r="AD1125" s="1263"/>
      <c r="AE1125" s="1263"/>
      <c r="AF1125" s="1263"/>
      <c r="AG1125" s="1263"/>
      <c r="AH1125" s="1263"/>
      <c r="AI1125" s="1263"/>
      <c r="AJ1125" s="1263"/>
      <c r="AK1125" s="1263"/>
    </row>
    <row r="1126" spans="1:37" ht="0" hidden="1" customHeight="1">
      <c r="A1126" s="35"/>
      <c r="B1126" s="25"/>
      <c r="C1126" s="199"/>
      <c r="D1126" s="1263"/>
      <c r="E1126" s="1263"/>
      <c r="F1126" s="1263"/>
      <c r="G1126" s="1263"/>
      <c r="H1126" s="1263"/>
      <c r="I1126" s="1263"/>
      <c r="J1126" s="1263"/>
      <c r="K1126" s="1263"/>
      <c r="L1126" s="1263"/>
      <c r="M1126" s="1263"/>
      <c r="N1126" s="1263"/>
      <c r="O1126" s="1263"/>
      <c r="P1126" s="1263"/>
      <c r="Q1126" s="1263"/>
      <c r="R1126" s="1263"/>
      <c r="S1126" s="1263"/>
      <c r="T1126" s="1263"/>
      <c r="U1126" s="1263"/>
      <c r="V1126" s="1263"/>
      <c r="W1126" s="1263"/>
      <c r="X1126" s="1263"/>
      <c r="Y1126" s="1263"/>
      <c r="Z1126" s="1263"/>
      <c r="AA1126" s="1263"/>
      <c r="AB1126" s="1263"/>
      <c r="AC1126" s="1263"/>
      <c r="AD1126" s="1263"/>
      <c r="AE1126" s="1263"/>
      <c r="AF1126" s="1263"/>
      <c r="AG1126" s="1263"/>
      <c r="AH1126" s="1263"/>
      <c r="AI1126" s="1263"/>
      <c r="AJ1126" s="1263"/>
      <c r="AK1126" s="1263"/>
    </row>
    <row r="1127" spans="1:37" ht="0" hidden="1" customHeight="1">
      <c r="D1127" s="1263"/>
      <c r="E1127" s="1263"/>
      <c r="F1127" s="1263"/>
      <c r="G1127" s="1263"/>
      <c r="H1127" s="1263"/>
      <c r="I1127" s="1263"/>
      <c r="J1127" s="1263"/>
      <c r="K1127" s="1263"/>
      <c r="L1127" s="1263"/>
      <c r="M1127" s="1263"/>
      <c r="N1127" s="1263"/>
      <c r="O1127" s="1263"/>
      <c r="P1127" s="1263"/>
      <c r="Q1127" s="1263"/>
      <c r="R1127" s="1263"/>
      <c r="S1127" s="1263"/>
      <c r="T1127" s="1263"/>
      <c r="U1127" s="1263"/>
      <c r="V1127" s="1263"/>
      <c r="W1127" s="1263"/>
      <c r="X1127" s="1263"/>
      <c r="Y1127" s="1263"/>
      <c r="Z1127" s="1263"/>
      <c r="AA1127" s="1263"/>
      <c r="AB1127" s="1263"/>
      <c r="AC1127" s="1263"/>
      <c r="AD1127" s="1263"/>
      <c r="AE1127" s="1263"/>
      <c r="AF1127" s="1263"/>
      <c r="AG1127" s="1263"/>
      <c r="AH1127" s="1263"/>
      <c r="AI1127" s="1263"/>
      <c r="AJ1127" s="1263"/>
      <c r="AK1127" s="1263"/>
    </row>
    <row r="1137" ht="15" hidden="1" customHeight="1"/>
    <row r="2017" ht="9.9499999999999993"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AZ851:BA851"/>
    <mergeCell ref="AC890:AH890"/>
    <mergeCell ref="CP789:CT789"/>
    <mergeCell ref="CP787:CT787"/>
    <mergeCell ref="CP794:CT794"/>
    <mergeCell ref="CP795:CT795"/>
    <mergeCell ref="CP796:CT796"/>
    <mergeCell ref="CP793:CT793"/>
    <mergeCell ref="CP792:CT792"/>
    <mergeCell ref="CP791:CT791"/>
    <mergeCell ref="CP790:CT790"/>
    <mergeCell ref="EO793:ES793"/>
    <mergeCell ref="EO794:ES794"/>
    <mergeCell ref="DU794:DY794"/>
    <mergeCell ref="DU795:DY795"/>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DO789:DS789"/>
    <mergeCell ref="DO790:DS790"/>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E788:DI788"/>
    <mergeCell ref="CP797:CT797"/>
    <mergeCell ref="J791:N791"/>
    <mergeCell ref="X792:AB792"/>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EE787:EI787"/>
    <mergeCell ref="EE788:EI788"/>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J743:DN743"/>
    <mergeCell ref="DO743:DS743"/>
    <mergeCell ref="DO744:DS744"/>
    <mergeCell ref="DO750:DS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DO791:DS791"/>
    <mergeCell ref="CI752:CJ752"/>
    <mergeCell ref="DO793:DS793"/>
    <mergeCell ref="DO794:DS794"/>
    <mergeCell ref="CU743:CY743"/>
    <mergeCell ref="CZ743:DD743"/>
    <mergeCell ref="DE743:DI743"/>
    <mergeCell ref="CK750:CL750"/>
    <mergeCell ref="CM750:CN750"/>
    <mergeCell ref="CG747:CH747"/>
    <mergeCell ref="CI747:CJ747"/>
    <mergeCell ref="CK747:CL747"/>
    <mergeCell ref="CM747:CN747"/>
    <mergeCell ref="CZ747:DD747"/>
    <mergeCell ref="DE747:DI747"/>
    <mergeCell ref="CM744:CN744"/>
    <mergeCell ref="CM753:CN753"/>
    <mergeCell ref="DJ742:DN742"/>
    <mergeCell ref="CK748:CL748"/>
    <mergeCell ref="ET752:EX752"/>
    <mergeCell ref="EO751:ES751"/>
    <mergeCell ref="CZ752:DD752"/>
    <mergeCell ref="ET753:EX753"/>
    <mergeCell ref="FE751:FI751"/>
    <mergeCell ref="DX665:EB665"/>
    <mergeCell ref="FY747:GC747"/>
    <mergeCell ref="EZ748:FD748"/>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FJ751:FN751"/>
    <mergeCell ref="FJ753:FN753"/>
    <mergeCell ref="EE741:EI741"/>
    <mergeCell ref="EJ741:EN741"/>
    <mergeCell ref="EO741:ES741"/>
    <mergeCell ref="CU742:CY742"/>
    <mergeCell ref="CZ742:DD742"/>
    <mergeCell ref="DE742:DI742"/>
    <mergeCell ref="DO742:DS742"/>
    <mergeCell ref="FE741:FI741"/>
    <mergeCell ref="FJ741:FN741"/>
    <mergeCell ref="FO741:FS741"/>
    <mergeCell ref="FY741:GC741"/>
    <mergeCell ref="EZ742:FD742"/>
    <mergeCell ref="DJ745:DN745"/>
    <mergeCell ref="DO745:DS745"/>
    <mergeCell ref="CG744:CH744"/>
    <mergeCell ref="CI744:CJ744"/>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Z747:FD747"/>
    <mergeCell ref="FE747:FI747"/>
    <mergeCell ref="FJ747:FN747"/>
    <mergeCell ref="FO747:FS747"/>
    <mergeCell ref="FT747:FX747"/>
    <mergeCell ref="FY749:GC749"/>
    <mergeCell ref="FE746:FI746"/>
    <mergeCell ref="FJ746:FN746"/>
    <mergeCell ref="FO746:FS746"/>
    <mergeCell ref="FT750:FX750"/>
    <mergeCell ref="FY750:GC750"/>
    <mergeCell ref="EJ745:EN745"/>
    <mergeCell ref="EZ741:FD741"/>
    <mergeCell ref="DZ744:ED744"/>
    <mergeCell ref="EE744:EI744"/>
    <mergeCell ref="EJ744:EN744"/>
    <mergeCell ref="EO744:ES744"/>
    <mergeCell ref="ET744:EX744"/>
    <mergeCell ref="FY742:GC742"/>
    <mergeCell ref="EZ743:FD743"/>
    <mergeCell ref="FE743:FI743"/>
    <mergeCell ref="FJ743:FN743"/>
    <mergeCell ref="FO743:FS743"/>
    <mergeCell ref="FT743:FX743"/>
    <mergeCell ref="FY743:GC743"/>
    <mergeCell ref="EZ744:FD744"/>
    <mergeCell ref="FE744:FI744"/>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W661:FA661"/>
    <mergeCell ref="EM659:EQ659"/>
    <mergeCell ref="ER659:EV659"/>
    <mergeCell ref="EW659:FA659"/>
    <mergeCell ref="DX660:EB660"/>
    <mergeCell ref="EC660:EG660"/>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H652:EL652"/>
    <mergeCell ref="EJ725:EN725"/>
    <mergeCell ref="DZ728:ED728"/>
    <mergeCell ref="EE724:EI724"/>
    <mergeCell ref="EE722:EI722"/>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2:ED742"/>
    <mergeCell ref="ET742:EX742"/>
    <mergeCell ref="FE742:FI742"/>
    <mergeCell ref="FJ742:FN742"/>
    <mergeCell ref="FO742:FS742"/>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P744:CT744"/>
    <mergeCell ref="DJ744:DN744"/>
    <mergeCell ref="CM742:CN742"/>
    <mergeCell ref="FT742:FX742"/>
    <mergeCell ref="CP746:CT746"/>
    <mergeCell ref="CU746:CY746"/>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DE746:DI746"/>
    <mergeCell ref="DJ733:DN733"/>
    <mergeCell ref="D472:V472"/>
    <mergeCell ref="W472:Y472"/>
    <mergeCell ref="AE551:AH553"/>
    <mergeCell ref="AI551:AL553"/>
    <mergeCell ref="CZ732:DD732"/>
    <mergeCell ref="G721:J721"/>
    <mergeCell ref="G722:J722"/>
    <mergeCell ref="DE741:DI741"/>
    <mergeCell ref="CK733:CL733"/>
    <mergeCell ref="CU744:CY744"/>
    <mergeCell ref="DX658:EB658"/>
    <mergeCell ref="EC658:EG658"/>
    <mergeCell ref="AC508:AF508"/>
    <mergeCell ref="DU741:DY741"/>
    <mergeCell ref="DZ741:ED741"/>
    <mergeCell ref="AK732:AO732"/>
    <mergeCell ref="AK733:AO733"/>
    <mergeCell ref="AK734:AO734"/>
    <mergeCell ref="AK735:AO735"/>
    <mergeCell ref="CP740:CT740"/>
    <mergeCell ref="CZ733:DD733"/>
    <mergeCell ref="CZ736:DD736"/>
    <mergeCell ref="CM731:CN731"/>
    <mergeCell ref="CG739:CH739"/>
    <mergeCell ref="CG740:CH740"/>
    <mergeCell ref="CK741:CL741"/>
    <mergeCell ref="CM741:CN741"/>
    <mergeCell ref="AH529:AK529"/>
    <mergeCell ref="AH534:AK534"/>
    <mergeCell ref="AC510:AF510"/>
    <mergeCell ref="Z659:AK659"/>
    <mergeCell ref="AM555:AS555"/>
    <mergeCell ref="AI557:AL557"/>
    <mergeCell ref="T724:W724"/>
    <mergeCell ref="AM551:AS553"/>
    <mergeCell ref="AG441:AJ441"/>
    <mergeCell ref="AC538:AF538"/>
    <mergeCell ref="AH531:AK531"/>
    <mergeCell ref="AH540:AK540"/>
    <mergeCell ref="AC515:AF515"/>
    <mergeCell ref="AC514:AF514"/>
    <mergeCell ref="AH538:AK538"/>
    <mergeCell ref="Z551:AD553"/>
    <mergeCell ref="AH513:AK513"/>
    <mergeCell ref="AI558:AL558"/>
    <mergeCell ref="Q557:S557"/>
    <mergeCell ref="Z557:AD557"/>
    <mergeCell ref="W554:Y554"/>
    <mergeCell ref="W555:Y555"/>
    <mergeCell ref="S405:AJ405"/>
    <mergeCell ref="AG379:AH379"/>
    <mergeCell ref="S392:U392"/>
    <mergeCell ref="AG390:AJ390"/>
    <mergeCell ref="Q391:U391"/>
    <mergeCell ref="AC505:AF505"/>
    <mergeCell ref="AH522:AK522"/>
    <mergeCell ref="W471:Y471"/>
    <mergeCell ref="AH507:AK507"/>
    <mergeCell ref="V388:AJ388"/>
    <mergeCell ref="D443:AF443"/>
    <mergeCell ref="D448:AF448"/>
    <mergeCell ref="AG445:AJ445"/>
    <mergeCell ref="I421:K421"/>
    <mergeCell ref="AG395:AJ395"/>
    <mergeCell ref="AI392:AJ392"/>
    <mergeCell ref="AG394:AJ394"/>
    <mergeCell ref="E420:AJ420"/>
    <mergeCell ref="AE402:AJ402"/>
    <mergeCell ref="AC521:AF521"/>
    <mergeCell ref="AC500:AF500"/>
    <mergeCell ref="AC522:AF522"/>
    <mergeCell ref="AH506:AK506"/>
    <mergeCell ref="AH508:AK508"/>
    <mergeCell ref="AH722:AJ722"/>
    <mergeCell ref="Z587:AK587"/>
    <mergeCell ref="AI572:AK572"/>
    <mergeCell ref="T564:V564"/>
    <mergeCell ref="AM554:AS554"/>
    <mergeCell ref="AO639:AS639"/>
    <mergeCell ref="AO629:AS629"/>
    <mergeCell ref="AO638:AS638"/>
    <mergeCell ref="AC519:AF519"/>
    <mergeCell ref="AC523:AF523"/>
    <mergeCell ref="AH516:AK516"/>
    <mergeCell ref="AC534:AF534"/>
    <mergeCell ref="CG750:CH750"/>
    <mergeCell ref="CI753:CJ753"/>
    <mergeCell ref="X729:AB729"/>
    <mergeCell ref="CP751:CT751"/>
    <mergeCell ref="CM751:CN751"/>
    <mergeCell ref="CP723:CT723"/>
    <mergeCell ref="CK737:CL737"/>
    <mergeCell ref="CG732:CH732"/>
    <mergeCell ref="AH517:AK517"/>
    <mergeCell ref="AH542:AK542"/>
    <mergeCell ref="AH525:AK525"/>
    <mergeCell ref="AC530:AF530"/>
    <mergeCell ref="CK752:CL752"/>
    <mergeCell ref="T560:V560"/>
    <mergeCell ref="X740:AB740"/>
    <mergeCell ref="X752:AB752"/>
    <mergeCell ref="T728:W728"/>
    <mergeCell ref="AC740:AG740"/>
    <mergeCell ref="AC741:AG741"/>
    <mergeCell ref="AC737:AG737"/>
    <mergeCell ref="T769:W772"/>
    <mergeCell ref="AC793:AG793"/>
    <mergeCell ref="X775:AB775"/>
    <mergeCell ref="X776:AB776"/>
    <mergeCell ref="D468:V468"/>
    <mergeCell ref="AC512:AF512"/>
    <mergeCell ref="AC542:AF542"/>
    <mergeCell ref="B489:P490"/>
    <mergeCell ref="AC506:AF506"/>
    <mergeCell ref="Q489:R490"/>
    <mergeCell ref="Q488:AK488"/>
    <mergeCell ref="AH535:AK535"/>
    <mergeCell ref="AC532:AF532"/>
    <mergeCell ref="M495:P495"/>
    <mergeCell ref="AC501:AF501"/>
    <mergeCell ref="Z554:AD554"/>
    <mergeCell ref="M558:P558"/>
    <mergeCell ref="G571:R571"/>
    <mergeCell ref="Q559:S559"/>
    <mergeCell ref="AH524:AK524"/>
    <mergeCell ref="AC541:AF541"/>
    <mergeCell ref="W557:Y557"/>
    <mergeCell ref="AC526:AF526"/>
    <mergeCell ref="AE557:AH557"/>
    <mergeCell ref="T562:V562"/>
    <mergeCell ref="AH532:AK532"/>
    <mergeCell ref="T554:V554"/>
    <mergeCell ref="AC524:AF524"/>
    <mergeCell ref="AC517:AF517"/>
    <mergeCell ref="T556:V556"/>
    <mergeCell ref="W551:Y553"/>
    <mergeCell ref="AH521:AK521"/>
    <mergeCell ref="B501:H502"/>
    <mergeCell ref="C556:L556"/>
    <mergeCell ref="M556:P556"/>
    <mergeCell ref="CU776:CY776"/>
    <mergeCell ref="CP750:CT750"/>
    <mergeCell ref="CU750:CY750"/>
    <mergeCell ref="AM560:AS560"/>
    <mergeCell ref="CU747:CY747"/>
    <mergeCell ref="CU751:CY751"/>
    <mergeCell ref="G646:R646"/>
    <mergeCell ref="Z652:AK652"/>
    <mergeCell ref="G714:J717"/>
    <mergeCell ref="G668:R668"/>
    <mergeCell ref="CU726:CY726"/>
    <mergeCell ref="Z569:AK569"/>
    <mergeCell ref="N607:O607"/>
    <mergeCell ref="G593:R593"/>
    <mergeCell ref="AF630:AJ630"/>
    <mergeCell ref="N583:O583"/>
    <mergeCell ref="AI560:AL560"/>
    <mergeCell ref="AK742:AO742"/>
    <mergeCell ref="CP745:CT745"/>
    <mergeCell ref="CK723:CL723"/>
    <mergeCell ref="CK721:CL721"/>
    <mergeCell ref="CM726:CN726"/>
    <mergeCell ref="CM718:CN718"/>
    <mergeCell ref="CI732:CJ732"/>
    <mergeCell ref="CM728:CN728"/>
    <mergeCell ref="CK744:CL744"/>
    <mergeCell ref="W630:Y630"/>
    <mergeCell ref="AH745:AJ745"/>
    <mergeCell ref="AH746:AJ746"/>
    <mergeCell ref="G570:R570"/>
    <mergeCell ref="CZ775:DD775"/>
    <mergeCell ref="CP747:CT747"/>
    <mergeCell ref="CG748:CH748"/>
    <mergeCell ref="Z559:AD559"/>
    <mergeCell ref="Z562:AD562"/>
    <mergeCell ref="W561:Y561"/>
    <mergeCell ref="W562:Y562"/>
    <mergeCell ref="T559:V559"/>
    <mergeCell ref="G603:R603"/>
    <mergeCell ref="G602:R602"/>
    <mergeCell ref="G605:L605"/>
    <mergeCell ref="H606:R606"/>
    <mergeCell ref="C560:L560"/>
    <mergeCell ref="Z560:AD560"/>
    <mergeCell ref="AI563:AL563"/>
    <mergeCell ref="Z563:AD563"/>
    <mergeCell ref="P581:R581"/>
    <mergeCell ref="N591:O591"/>
    <mergeCell ref="Q560:S560"/>
    <mergeCell ref="Q565:S565"/>
    <mergeCell ref="Q561:S561"/>
    <mergeCell ref="C562:L562"/>
    <mergeCell ref="AF634:AJ634"/>
    <mergeCell ref="W637:Y637"/>
    <mergeCell ref="AG657:AH657"/>
    <mergeCell ref="Z634:AB634"/>
    <mergeCell ref="AK635:AN635"/>
    <mergeCell ref="B736:F736"/>
    <mergeCell ref="B733:F733"/>
    <mergeCell ref="B731:F731"/>
    <mergeCell ref="X719:AB719"/>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CZ750:DD750"/>
    <mergeCell ref="C627:L627"/>
    <mergeCell ref="X742:AB742"/>
    <mergeCell ref="AH742:AJ742"/>
    <mergeCell ref="AK739:AO739"/>
    <mergeCell ref="B741:F741"/>
    <mergeCell ref="AK747:AO747"/>
    <mergeCell ref="X722:AB722"/>
    <mergeCell ref="Z685:AK685"/>
    <mergeCell ref="AE698:AI698"/>
    <mergeCell ref="AC714:AG717"/>
    <mergeCell ref="AC637:AE637"/>
    <mergeCell ref="X714:AB717"/>
    <mergeCell ref="AE694:AF694"/>
    <mergeCell ref="A709:AT711"/>
    <mergeCell ref="G660:R660"/>
    <mergeCell ref="T634:V634"/>
    <mergeCell ref="V381:W381"/>
    <mergeCell ref="W466:Y466"/>
    <mergeCell ref="AG446:AJ446"/>
    <mergeCell ref="W467:Y467"/>
    <mergeCell ref="W470:Y470"/>
    <mergeCell ref="AC531:AF531"/>
    <mergeCell ref="AC539:AF539"/>
    <mergeCell ref="C558:L558"/>
    <mergeCell ref="AC507:AF507"/>
    <mergeCell ref="AC504:AF504"/>
    <mergeCell ref="AH505:AK505"/>
    <mergeCell ref="W465:Y465"/>
    <mergeCell ref="W469:Y469"/>
    <mergeCell ref="AH504:AK504"/>
    <mergeCell ref="L508:AB508"/>
    <mergeCell ref="O520:AA520"/>
    <mergeCell ref="AE555:AH555"/>
    <mergeCell ref="AH518:AK518"/>
    <mergeCell ref="AH514:AK514"/>
    <mergeCell ref="Q555:S555"/>
    <mergeCell ref="AH539:AK539"/>
    <mergeCell ref="AH541:AK541"/>
    <mergeCell ref="AC535:AF535"/>
    <mergeCell ref="AI554:AL554"/>
    <mergeCell ref="Q551:S553"/>
    <mergeCell ref="T551:V553"/>
    <mergeCell ref="M555:P555"/>
    <mergeCell ref="C555:L555"/>
    <mergeCell ref="AC540:AF540"/>
    <mergeCell ref="AH537:AK537"/>
    <mergeCell ref="M551:P553"/>
    <mergeCell ref="AC536:AF536"/>
    <mergeCell ref="P339:R339"/>
    <mergeCell ref="AA341:AK341"/>
    <mergeCell ref="E368:AH369"/>
    <mergeCell ref="Q365:AG365"/>
    <mergeCell ref="V377:W377"/>
    <mergeCell ref="S377:T377"/>
    <mergeCell ref="D437:AF437"/>
    <mergeCell ref="D442:AF442"/>
    <mergeCell ref="AF430:AG430"/>
    <mergeCell ref="AG437:AJ437"/>
    <mergeCell ref="J388:U388"/>
    <mergeCell ref="AG449:AJ449"/>
    <mergeCell ref="AJ356:AK356"/>
    <mergeCell ref="AD377:AE377"/>
    <mergeCell ref="AC371:AF371"/>
    <mergeCell ref="AF418:AH418"/>
    <mergeCell ref="AC528:AF528"/>
    <mergeCell ref="AG450:AJ450"/>
    <mergeCell ref="D467:V467"/>
    <mergeCell ref="AH527:AK527"/>
    <mergeCell ref="AG438:AJ438"/>
    <mergeCell ref="O523:AA523"/>
    <mergeCell ref="N372:Q372"/>
    <mergeCell ref="AC370:AF370"/>
    <mergeCell ref="W474:Y474"/>
    <mergeCell ref="AH510:AK510"/>
    <mergeCell ref="AG444:AJ444"/>
    <mergeCell ref="D440:AF440"/>
    <mergeCell ref="AH503:AK503"/>
    <mergeCell ref="AA340:AF340"/>
    <mergeCell ref="P344:AE344"/>
    <mergeCell ref="D446:AF446"/>
    <mergeCell ref="AA338:AK338"/>
    <mergeCell ref="H337:R337"/>
    <mergeCell ref="P345:AE345"/>
    <mergeCell ref="D449:AF449"/>
    <mergeCell ref="AG443:AJ443"/>
    <mergeCell ref="R412:S412"/>
    <mergeCell ref="Q429:R429"/>
    <mergeCell ref="AC385:AJ385"/>
    <mergeCell ref="G653:R653"/>
    <mergeCell ref="AE696:AI696"/>
    <mergeCell ref="K718:N718"/>
    <mergeCell ref="G718:J718"/>
    <mergeCell ref="G670:R670"/>
    <mergeCell ref="Z669:AK669"/>
    <mergeCell ref="E707:AK707"/>
    <mergeCell ref="W706:AK706"/>
    <mergeCell ref="P687:R687"/>
    <mergeCell ref="R705:T705"/>
    <mergeCell ref="M627:P627"/>
    <mergeCell ref="M629:P629"/>
    <mergeCell ref="W624:Y626"/>
    <mergeCell ref="W628:Y628"/>
    <mergeCell ref="AH526:AK526"/>
    <mergeCell ref="G663:L663"/>
    <mergeCell ref="T635:V635"/>
    <mergeCell ref="G589:L589"/>
    <mergeCell ref="Z555:AD555"/>
    <mergeCell ref="O535:AA535"/>
    <mergeCell ref="AH523:AK523"/>
    <mergeCell ref="AE554:AH554"/>
    <mergeCell ref="O714:S717"/>
    <mergeCell ref="C628:L628"/>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K403:AJ403"/>
    <mergeCell ref="P346:AE346"/>
    <mergeCell ref="Q390:U390"/>
    <mergeCell ref="I410:AE410"/>
    <mergeCell ref="AI389:AJ389"/>
    <mergeCell ref="P347:Z347"/>
    <mergeCell ref="J386:U386"/>
    <mergeCell ref="T398:AJ398"/>
    <mergeCell ref="AG440:AJ440"/>
    <mergeCell ref="S401:U401"/>
    <mergeCell ref="AA336:AK336"/>
    <mergeCell ref="D447:AF447"/>
    <mergeCell ref="Y364:Z364"/>
    <mergeCell ref="N378:P378"/>
    <mergeCell ref="W418:Y418"/>
    <mergeCell ref="AG439:AJ439"/>
    <mergeCell ref="AE424:AF424"/>
    <mergeCell ref="N371:Q371"/>
    <mergeCell ref="V382:W382"/>
    <mergeCell ref="J367:K367"/>
    <mergeCell ref="U175:V175"/>
    <mergeCell ref="R177:S177"/>
    <mergeCell ref="M243:AE243"/>
    <mergeCell ref="D204:M204"/>
    <mergeCell ref="M238:T238"/>
    <mergeCell ref="T197:U197"/>
    <mergeCell ref="W253:X253"/>
    <mergeCell ref="M252:AE252"/>
    <mergeCell ref="AF251:AK251"/>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P307:R307"/>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A75:AT77"/>
    <mergeCell ref="A79:AT81"/>
    <mergeCell ref="AB215:AL215"/>
    <mergeCell ref="T198:U198"/>
    <mergeCell ref="Q212:R212"/>
    <mergeCell ref="D214:Z214"/>
    <mergeCell ref="AB216:AL216"/>
    <mergeCell ref="M236:R236"/>
    <mergeCell ref="Z236:AE236"/>
    <mergeCell ref="G113:H113"/>
    <mergeCell ref="C115:K115"/>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Y120:AK120"/>
    <mergeCell ref="AI178:AK178"/>
    <mergeCell ref="J173:S173"/>
    <mergeCell ref="O155:AH155"/>
    <mergeCell ref="O153:AH153"/>
    <mergeCell ref="O154:AH154"/>
    <mergeCell ref="T195:U195"/>
    <mergeCell ref="E187:AE188"/>
    <mergeCell ref="Y123:AK123"/>
    <mergeCell ref="M237:AE237"/>
    <mergeCell ref="AA249:AK249"/>
    <mergeCell ref="M244:AE244"/>
    <mergeCell ref="M247:R247"/>
    <mergeCell ref="O156:AH156"/>
    <mergeCell ref="O157:X157"/>
    <mergeCell ref="O159:T159"/>
    <mergeCell ref="O160:T160"/>
    <mergeCell ref="O161:AH161"/>
    <mergeCell ref="M257:T257"/>
    <mergeCell ref="M256:AE256"/>
    <mergeCell ref="P113:S113"/>
    <mergeCell ref="AF243:AK243"/>
    <mergeCell ref="M234:T234"/>
    <mergeCell ref="W234:X234"/>
    <mergeCell ref="T212:U212"/>
    <mergeCell ref="F150:T150"/>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M235:AE235"/>
    <mergeCell ref="I185:AE185"/>
    <mergeCell ref="X176:Y176"/>
    <mergeCell ref="L279:AD279"/>
    <mergeCell ref="AI226:AJ226"/>
    <mergeCell ref="Z255:AE255"/>
    <mergeCell ref="M255:R255"/>
    <mergeCell ref="A282:AT283"/>
    <mergeCell ref="AA238:AK238"/>
    <mergeCell ref="M251:AE251"/>
    <mergeCell ref="X180:Y180"/>
    <mergeCell ref="AP205:AQ205"/>
    <mergeCell ref="AI229:AJ229"/>
    <mergeCell ref="M248:AE248"/>
    <mergeCell ref="U236:W236"/>
    <mergeCell ref="T189:AE189"/>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H329:R329"/>
    <mergeCell ref="H330:R330"/>
    <mergeCell ref="P331:R331"/>
    <mergeCell ref="AA324:AF324"/>
    <mergeCell ref="H328:R328"/>
    <mergeCell ref="AI323:AK323"/>
    <mergeCell ref="AA320:AK320"/>
    <mergeCell ref="H317:R317"/>
    <mergeCell ref="P323:R323"/>
    <mergeCell ref="AA315:AF315"/>
    <mergeCell ref="P349:AE349"/>
    <mergeCell ref="T278:V278"/>
    <mergeCell ref="P291:R291"/>
    <mergeCell ref="AA287:AK287"/>
    <mergeCell ref="P205:U205"/>
    <mergeCell ref="M239:AE239"/>
    <mergeCell ref="AF178:AG178"/>
    <mergeCell ref="I190:N190"/>
    <mergeCell ref="M245:T245"/>
    <mergeCell ref="M246:AE246"/>
    <mergeCell ref="AC245:AE245"/>
    <mergeCell ref="D220:Z220"/>
    <mergeCell ref="T193:AI193"/>
    <mergeCell ref="AI227:AJ227"/>
    <mergeCell ref="AA311:AK311"/>
    <mergeCell ref="AA306:AK306"/>
    <mergeCell ref="AA303:AK303"/>
    <mergeCell ref="D270:H270"/>
    <mergeCell ref="X270:AC270"/>
    <mergeCell ref="Z263:AE263"/>
    <mergeCell ref="H311:R311"/>
    <mergeCell ref="H308:M308"/>
    <mergeCell ref="AH254:AK254"/>
    <mergeCell ref="M259:AE259"/>
    <mergeCell ref="AA293:AK293"/>
    <mergeCell ref="L280:AD280"/>
    <mergeCell ref="L275:AD275"/>
    <mergeCell ref="H290:R290"/>
    <mergeCell ref="V276:W276"/>
    <mergeCell ref="AA301:AK301"/>
    <mergeCell ref="AA296:AK296"/>
    <mergeCell ref="H301:R301"/>
    <mergeCell ref="L277:AD277"/>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P424:Q424"/>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35:R335"/>
    <mergeCell ref="AA333:AK333"/>
    <mergeCell ref="H339:M339"/>
    <mergeCell ref="D469:V469"/>
    <mergeCell ref="W473:Y473"/>
    <mergeCell ref="Q394:U394"/>
    <mergeCell ref="AD412:AE412"/>
    <mergeCell ref="H414:AE415"/>
    <mergeCell ref="AE425:AF425"/>
    <mergeCell ref="AC520:AF520"/>
    <mergeCell ref="AC527:AF527"/>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D473:V473"/>
    <mergeCell ref="D470:V470"/>
    <mergeCell ref="D438:AF438"/>
    <mergeCell ref="H315:M315"/>
    <mergeCell ref="H321:R321"/>
    <mergeCell ref="H322:R322"/>
    <mergeCell ref="L276:S276"/>
    <mergeCell ref="L278:Q278"/>
    <mergeCell ref="AA289:AK289"/>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AJ357:AK357"/>
    <mergeCell ref="D444:AF444"/>
    <mergeCell ref="M358:N358"/>
    <mergeCell ref="AH519:AK519"/>
    <mergeCell ref="AH536:AK536"/>
    <mergeCell ref="AG448:AJ448"/>
    <mergeCell ref="AH528:AK528"/>
    <mergeCell ref="G474:V474"/>
    <mergeCell ref="R411:S411"/>
    <mergeCell ref="P418:R418"/>
    <mergeCell ref="Q492:AK492"/>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AI556:AL556"/>
    <mergeCell ref="T557:V557"/>
    <mergeCell ref="Q389:U389"/>
    <mergeCell ref="W558:Y558"/>
    <mergeCell ref="AE558:AH558"/>
    <mergeCell ref="C557:L557"/>
    <mergeCell ref="D471:V471"/>
    <mergeCell ref="O532:AA532"/>
    <mergeCell ref="B551:L553"/>
    <mergeCell ref="AG401:AJ401"/>
    <mergeCell ref="AC387:AJ387"/>
    <mergeCell ref="AC533:AF533"/>
    <mergeCell ref="AH501:AK501"/>
    <mergeCell ref="B753:F753"/>
    <mergeCell ref="O752:S752"/>
    <mergeCell ref="AH726:AJ726"/>
    <mergeCell ref="O718:S718"/>
    <mergeCell ref="B730:F730"/>
    <mergeCell ref="G683:R683"/>
    <mergeCell ref="N681:O681"/>
    <mergeCell ref="G686:R686"/>
    <mergeCell ref="N689:O689"/>
    <mergeCell ref="G678:R678"/>
    <mergeCell ref="P679:R679"/>
    <mergeCell ref="B742:F742"/>
    <mergeCell ref="B722:F722"/>
    <mergeCell ref="B725:F725"/>
    <mergeCell ref="O723:S723"/>
    <mergeCell ref="X723:AB723"/>
    <mergeCell ref="T719:W719"/>
    <mergeCell ref="O724:S724"/>
    <mergeCell ref="T725:W725"/>
    <mergeCell ref="G724:J724"/>
    <mergeCell ref="T729:W729"/>
    <mergeCell ref="AH728:AJ728"/>
    <mergeCell ref="G752:J752"/>
    <mergeCell ref="T741:W741"/>
    <mergeCell ref="AH752:AJ752"/>
    <mergeCell ref="AH751:AJ751"/>
    <mergeCell ref="AG689:AH689"/>
    <mergeCell ref="AH747:AJ747"/>
    <mergeCell ref="AH748:AJ748"/>
    <mergeCell ref="T742:W742"/>
    <mergeCell ref="X745:AB745"/>
    <mergeCell ref="X718:AB718"/>
    <mergeCell ref="M823:P824"/>
    <mergeCell ref="Y827:AB827"/>
    <mergeCell ref="AG827:AJ827"/>
    <mergeCell ref="Z817:AE817"/>
    <mergeCell ref="T774:W774"/>
    <mergeCell ref="U827:X827"/>
    <mergeCell ref="O783:S786"/>
    <mergeCell ref="M825:P825"/>
    <mergeCell ref="AC791:AG791"/>
    <mergeCell ref="M827:P827"/>
    <mergeCell ref="J797:N797"/>
    <mergeCell ref="J795:N795"/>
    <mergeCell ref="AC774:AG774"/>
    <mergeCell ref="X777:AB777"/>
    <mergeCell ref="J794:N794"/>
    <mergeCell ref="J789:N789"/>
    <mergeCell ref="X795:AB795"/>
    <mergeCell ref="Z813:AE813"/>
    <mergeCell ref="T783:W786"/>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X789:AB789"/>
    <mergeCell ref="O788:S788"/>
    <mergeCell ref="T791:W791"/>
    <mergeCell ref="T787:W787"/>
    <mergeCell ref="T788:W788"/>
    <mergeCell ref="T789:W789"/>
    <mergeCell ref="O795:S795"/>
    <mergeCell ref="Z807:AE807"/>
    <mergeCell ref="O774:S774"/>
    <mergeCell ref="O794:S794"/>
    <mergeCell ref="X769:AB772"/>
    <mergeCell ref="J775:N775"/>
    <mergeCell ref="AC776:AG776"/>
    <mergeCell ref="AC792:AG792"/>
    <mergeCell ref="O787:S787"/>
    <mergeCell ref="Q826:T826"/>
    <mergeCell ref="Y823:AB824"/>
    <mergeCell ref="AC775:AG775"/>
    <mergeCell ref="T773:W773"/>
    <mergeCell ref="AC777:AG777"/>
    <mergeCell ref="T794:W794"/>
    <mergeCell ref="T792:W792"/>
    <mergeCell ref="O777:S777"/>
    <mergeCell ref="X788:AB788"/>
    <mergeCell ref="O797:S797"/>
    <mergeCell ref="Q827:T827"/>
    <mergeCell ref="O793:S793"/>
    <mergeCell ref="J790:N790"/>
    <mergeCell ref="AC789:AG789"/>
    <mergeCell ref="AC790:AG790"/>
    <mergeCell ref="U829:X829"/>
    <mergeCell ref="Q829:T829"/>
    <mergeCell ref="C798:AN799"/>
    <mergeCell ref="J793:N793"/>
    <mergeCell ref="Y801:AC801"/>
    <mergeCell ref="Y800:AC800"/>
    <mergeCell ref="AC796:AG796"/>
    <mergeCell ref="AC788:AG788"/>
    <mergeCell ref="AC829:AF829"/>
    <mergeCell ref="Y829:AB829"/>
    <mergeCell ref="AC783:AG786"/>
    <mergeCell ref="X783:AB786"/>
    <mergeCell ref="X787:AB787"/>
    <mergeCell ref="O789:S789"/>
    <mergeCell ref="J788:N788"/>
    <mergeCell ref="U826:X826"/>
    <mergeCell ref="X794:AB794"/>
    <mergeCell ref="M828:P828"/>
    <mergeCell ref="J779:K779"/>
    <mergeCell ref="J787:N787"/>
    <mergeCell ref="T796:W796"/>
    <mergeCell ref="X793:AB793"/>
    <mergeCell ref="C829:H829"/>
    <mergeCell ref="C828:H828"/>
    <mergeCell ref="C825:H825"/>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74:AC874"/>
    <mergeCell ref="C837:AJ837"/>
    <mergeCell ref="C830:H830"/>
    <mergeCell ref="F831:L831"/>
    <mergeCell ref="W875:AC875"/>
    <mergeCell ref="T858:V858"/>
    <mergeCell ref="T860:V860"/>
    <mergeCell ref="W867:AC867"/>
    <mergeCell ref="W862:AC862"/>
    <mergeCell ref="M876:V876"/>
    <mergeCell ref="W868:AC868"/>
    <mergeCell ref="W872:AC872"/>
    <mergeCell ref="X796:AB796"/>
    <mergeCell ref="M829:P829"/>
    <mergeCell ref="Z815:AE815"/>
    <mergeCell ref="Z808:AE808"/>
    <mergeCell ref="BD904:BE904"/>
    <mergeCell ref="BD906:BF906"/>
    <mergeCell ref="BD905:BF905"/>
    <mergeCell ref="AC884:AH884"/>
    <mergeCell ref="M875:V875"/>
    <mergeCell ref="W877:AC877"/>
    <mergeCell ref="W871:AC871"/>
    <mergeCell ref="BD899:BE899"/>
    <mergeCell ref="BD901:BE901"/>
    <mergeCell ref="AC886:AH886"/>
    <mergeCell ref="W869:AC869"/>
    <mergeCell ref="BD910:BE910"/>
    <mergeCell ref="BD903:BE903"/>
    <mergeCell ref="AC889:AH889"/>
    <mergeCell ref="AC894:AH894"/>
    <mergeCell ref="Z899:AE899"/>
    <mergeCell ref="AC888:AH888"/>
    <mergeCell ref="BD902:BE902"/>
    <mergeCell ref="BD900:BE900"/>
    <mergeCell ref="M877:V877"/>
    <mergeCell ref="AC892:AH892"/>
    <mergeCell ref="B743:F743"/>
    <mergeCell ref="AK748:AO748"/>
    <mergeCell ref="G661:R661"/>
    <mergeCell ref="B720:F720"/>
    <mergeCell ref="B734:F734"/>
    <mergeCell ref="B728:F728"/>
    <mergeCell ref="G738:J738"/>
    <mergeCell ref="AK746:AO746"/>
    <mergeCell ref="O735:S735"/>
    <mergeCell ref="T738:W738"/>
    <mergeCell ref="G727:J727"/>
    <mergeCell ref="B724:F724"/>
    <mergeCell ref="B727:F727"/>
    <mergeCell ref="H680:R680"/>
    <mergeCell ref="Z668:AK668"/>
    <mergeCell ref="G676:R676"/>
    <mergeCell ref="AA680:AK680"/>
    <mergeCell ref="O722:S722"/>
    <mergeCell ref="G719:J719"/>
    <mergeCell ref="B721:F721"/>
    <mergeCell ref="T720:W720"/>
    <mergeCell ref="K714:N717"/>
    <mergeCell ref="AH720:AJ720"/>
    <mergeCell ref="AK719:AO719"/>
    <mergeCell ref="H688:R688"/>
    <mergeCell ref="N673:O673"/>
    <mergeCell ref="G687:L687"/>
    <mergeCell ref="T722:W722"/>
    <mergeCell ref="AG673:AH673"/>
    <mergeCell ref="AG665:AH665"/>
    <mergeCell ref="B729:F729"/>
    <mergeCell ref="X746:AB746"/>
    <mergeCell ref="G675:R675"/>
    <mergeCell ref="Z677:AK677"/>
    <mergeCell ref="G720:J720"/>
    <mergeCell ref="AH749:AJ749"/>
    <mergeCell ref="AH739:AJ739"/>
    <mergeCell ref="AH740:AJ740"/>
    <mergeCell ref="O730:S730"/>
    <mergeCell ref="CM748:CN748"/>
    <mergeCell ref="CG749:CH749"/>
    <mergeCell ref="CG730:CH730"/>
    <mergeCell ref="CG728:CH728"/>
    <mergeCell ref="T732:W732"/>
    <mergeCell ref="O746:S746"/>
    <mergeCell ref="O733:S733"/>
    <mergeCell ref="K719:N719"/>
    <mergeCell ref="G723:J723"/>
    <mergeCell ref="O725:S725"/>
    <mergeCell ref="O726:S726"/>
    <mergeCell ref="X736:AB736"/>
    <mergeCell ref="T735:W735"/>
    <mergeCell ref="T734:W734"/>
    <mergeCell ref="AC732:AG732"/>
    <mergeCell ref="X733:AB733"/>
    <mergeCell ref="G732:J732"/>
    <mergeCell ref="AH735:AJ735"/>
    <mergeCell ref="K747:N747"/>
    <mergeCell ref="K735:N735"/>
    <mergeCell ref="T748:W748"/>
    <mergeCell ref="X747:AB747"/>
    <mergeCell ref="CI748:CJ748"/>
    <mergeCell ref="CI742:CJ742"/>
    <mergeCell ref="CK742:CL742"/>
    <mergeCell ref="N649:O649"/>
    <mergeCell ref="AH719:AJ719"/>
    <mergeCell ref="CK725:CL725"/>
    <mergeCell ref="CI734:CJ734"/>
    <mergeCell ref="CI719:CJ719"/>
    <mergeCell ref="CM739:CN739"/>
    <mergeCell ref="X728:AB728"/>
    <mergeCell ref="O719:S719"/>
    <mergeCell ref="CI717:CJ717"/>
    <mergeCell ref="K724:N724"/>
    <mergeCell ref="AI655:AK655"/>
    <mergeCell ref="G662:R662"/>
    <mergeCell ref="AG681:AH681"/>
    <mergeCell ref="AI687:AK687"/>
    <mergeCell ref="J705:O705"/>
    <mergeCell ref="Z655:AE655"/>
    <mergeCell ref="G679:L679"/>
    <mergeCell ref="Z662:AK662"/>
    <mergeCell ref="G651:R651"/>
    <mergeCell ref="G652:R652"/>
    <mergeCell ref="G734:J734"/>
    <mergeCell ref="O729:S729"/>
    <mergeCell ref="Z667:AK667"/>
    <mergeCell ref="CI739:CJ739"/>
    <mergeCell ref="CM724:CN724"/>
    <mergeCell ref="CI723:CJ723"/>
    <mergeCell ref="O720:S720"/>
    <mergeCell ref="K725:N725"/>
    <mergeCell ref="X720:AB720"/>
    <mergeCell ref="G677:R677"/>
    <mergeCell ref="Z678:AK678"/>
    <mergeCell ref="P663:R663"/>
    <mergeCell ref="X725:AB725"/>
    <mergeCell ref="AH729:AJ729"/>
    <mergeCell ref="T727:W727"/>
    <mergeCell ref="K727:N727"/>
    <mergeCell ref="K726:N726"/>
    <mergeCell ref="T746:W746"/>
    <mergeCell ref="AK750:AO750"/>
    <mergeCell ref="T736:W736"/>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23:DD723"/>
    <mergeCell ref="CU740:CY740"/>
    <mergeCell ref="CP741:CT741"/>
    <mergeCell ref="CP726:CT726"/>
    <mergeCell ref="CG741:CH741"/>
    <mergeCell ref="CI741:CJ741"/>
    <mergeCell ref="CP724:CT724"/>
    <mergeCell ref="CZ734:DD734"/>
    <mergeCell ref="K751:N751"/>
    <mergeCell ref="O751:S751"/>
    <mergeCell ref="T731:W731"/>
    <mergeCell ref="CZ744:DD744"/>
    <mergeCell ref="CI743:CJ743"/>
    <mergeCell ref="CK743:CL743"/>
    <mergeCell ref="CM743:CN743"/>
    <mergeCell ref="CP742:CT742"/>
    <mergeCell ref="CP743:CT743"/>
    <mergeCell ref="CM745:CN745"/>
    <mergeCell ref="CG746:CH746"/>
    <mergeCell ref="CI746:CJ746"/>
    <mergeCell ref="CK746:CL746"/>
    <mergeCell ref="CM746:CN746"/>
    <mergeCell ref="CG742:CH742"/>
    <mergeCell ref="CG743:CH743"/>
    <mergeCell ref="CI728:CJ728"/>
    <mergeCell ref="CI735:CJ735"/>
    <mergeCell ref="CG737:CH737"/>
    <mergeCell ref="CZ729:DD729"/>
    <mergeCell ref="CG733:CH733"/>
    <mergeCell ref="CG734:CH734"/>
    <mergeCell ref="CP739:CT739"/>
    <mergeCell ref="CM738:CN738"/>
    <mergeCell ref="CI750:CJ750"/>
    <mergeCell ref="O745:S745"/>
    <mergeCell ref="CZ739:DD739"/>
    <mergeCell ref="CK734:CL734"/>
    <mergeCell ref="CM734:CN734"/>
    <mergeCell ref="CK738:CL738"/>
    <mergeCell ref="CI731:CJ731"/>
    <mergeCell ref="CI738:CJ738"/>
    <mergeCell ref="CG738:CH738"/>
    <mergeCell ref="CK739:CL739"/>
    <mergeCell ref="CP734:CT734"/>
    <mergeCell ref="CG725:CH725"/>
    <mergeCell ref="DE731:DI731"/>
    <mergeCell ref="DE728:DI728"/>
    <mergeCell ref="CU729:CY729"/>
    <mergeCell ref="CP733:CT733"/>
    <mergeCell ref="AK726:AO726"/>
    <mergeCell ref="CI729:CJ729"/>
    <mergeCell ref="CP729:CT729"/>
    <mergeCell ref="CU728:CY728"/>
    <mergeCell ref="CK732:CL732"/>
    <mergeCell ref="CZ726:DD726"/>
    <mergeCell ref="CZ738:DD738"/>
    <mergeCell ref="CM735:CN735"/>
    <mergeCell ref="CP725:CT725"/>
    <mergeCell ref="DE738:DI738"/>
    <mergeCell ref="CZ727:DD727"/>
    <mergeCell ref="DE734:DI734"/>
    <mergeCell ref="CZ725:DD725"/>
    <mergeCell ref="CM727:CN727"/>
    <mergeCell ref="CK726:CL726"/>
    <mergeCell ref="CP737:CT737"/>
    <mergeCell ref="CM737:CN737"/>
    <mergeCell ref="CU737:CY737"/>
    <mergeCell ref="DJ725:DN725"/>
    <mergeCell ref="DE725:DI725"/>
    <mergeCell ref="CM723:CN723"/>
    <mergeCell ref="CM725:CN725"/>
    <mergeCell ref="CK730:CL730"/>
    <mergeCell ref="CP731:CT731"/>
    <mergeCell ref="DE735:DI735"/>
    <mergeCell ref="AK731:AO731"/>
    <mergeCell ref="CM730:CN730"/>
    <mergeCell ref="CK727:CL727"/>
    <mergeCell ref="DE729:DI729"/>
    <mergeCell ref="DE726:DI726"/>
    <mergeCell ref="CP728:CT728"/>
    <mergeCell ref="CG724:CH724"/>
    <mergeCell ref="CM733:CN733"/>
    <mergeCell ref="CI733:CJ733"/>
    <mergeCell ref="CG735:CH735"/>
    <mergeCell ref="CZ724:DD724"/>
    <mergeCell ref="CU736:CY736"/>
    <mergeCell ref="AH723:AJ723"/>
    <mergeCell ref="Z679:AE679"/>
    <mergeCell ref="Z670:AK670"/>
    <mergeCell ref="AK728:AO728"/>
    <mergeCell ref="DE733:DI733"/>
    <mergeCell ref="CU735:CY735"/>
    <mergeCell ref="DE722:DI722"/>
    <mergeCell ref="CM736:CN736"/>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G596:R596"/>
    <mergeCell ref="M559:P559"/>
    <mergeCell ref="C564:L564"/>
    <mergeCell ref="Z558:AD558"/>
    <mergeCell ref="M562:P562"/>
    <mergeCell ref="M563:P563"/>
    <mergeCell ref="AI561:AL561"/>
    <mergeCell ref="Q564:S564"/>
    <mergeCell ref="AE561:AH561"/>
    <mergeCell ref="M560:P560"/>
    <mergeCell ref="Q563:S563"/>
    <mergeCell ref="AI565:AL565"/>
    <mergeCell ref="AE562:AH562"/>
    <mergeCell ref="CU722:CY722"/>
    <mergeCell ref="CZ722:DD722"/>
    <mergeCell ref="CK736:CL736"/>
    <mergeCell ref="DE732:DI732"/>
    <mergeCell ref="CM732:CN732"/>
    <mergeCell ref="AK725:AO725"/>
    <mergeCell ref="AK631:AN631"/>
    <mergeCell ref="AK632:AN632"/>
    <mergeCell ref="AI671:AK671"/>
    <mergeCell ref="AC634:AE634"/>
    <mergeCell ref="AF638:AJ638"/>
    <mergeCell ref="AC718:AG718"/>
    <mergeCell ref="AK730:AO730"/>
    <mergeCell ref="AC724:AG724"/>
    <mergeCell ref="AC730:AG730"/>
    <mergeCell ref="AH727:AJ727"/>
    <mergeCell ref="CU727:CY727"/>
    <mergeCell ref="CK724:CL724"/>
    <mergeCell ref="DE730:DI730"/>
    <mergeCell ref="CK735:CL735"/>
    <mergeCell ref="CP732:CT732"/>
    <mergeCell ref="CM729:CN729"/>
    <mergeCell ref="AH515:AK515"/>
    <mergeCell ref="AC516:AF516"/>
    <mergeCell ref="AE556:AH556"/>
    <mergeCell ref="AC503:AF503"/>
    <mergeCell ref="AC513:AF513"/>
    <mergeCell ref="AC518:AF518"/>
    <mergeCell ref="AH509:AK509"/>
    <mergeCell ref="AO632:AS632"/>
    <mergeCell ref="G644:R644"/>
    <mergeCell ref="P655:R655"/>
    <mergeCell ref="H664:R664"/>
    <mergeCell ref="AA648:AK648"/>
    <mergeCell ref="AK637:AN637"/>
    <mergeCell ref="M628:P628"/>
    <mergeCell ref="M633:P633"/>
    <mergeCell ref="G659:R659"/>
    <mergeCell ref="M637:P637"/>
    <mergeCell ref="M638:P638"/>
    <mergeCell ref="W638:Y638"/>
    <mergeCell ref="P647:R647"/>
    <mergeCell ref="AI647:AK647"/>
    <mergeCell ref="G654:R654"/>
    <mergeCell ref="C635:L635"/>
    <mergeCell ref="C630:L630"/>
    <mergeCell ref="C631:L631"/>
    <mergeCell ref="C632:L632"/>
    <mergeCell ref="Q556:S556"/>
    <mergeCell ref="W563:Y563"/>
    <mergeCell ref="W564:Y564"/>
    <mergeCell ref="AE560:AH560"/>
    <mergeCell ref="N575:O575"/>
    <mergeCell ref="G577:R577"/>
    <mergeCell ref="AG599:AH599"/>
    <mergeCell ref="H648:R648"/>
    <mergeCell ref="T555:V555"/>
    <mergeCell ref="W559:Y559"/>
    <mergeCell ref="G569:R569"/>
    <mergeCell ref="H582:R582"/>
    <mergeCell ref="Z579:AK579"/>
    <mergeCell ref="M561:P561"/>
    <mergeCell ref="W556:Y556"/>
    <mergeCell ref="C561:L561"/>
    <mergeCell ref="P597:R597"/>
    <mergeCell ref="G597:L597"/>
    <mergeCell ref="T561:V561"/>
    <mergeCell ref="AG583:AH583"/>
    <mergeCell ref="G588:R588"/>
    <mergeCell ref="Z580:AK580"/>
    <mergeCell ref="P589:R589"/>
    <mergeCell ref="Z588:AK588"/>
    <mergeCell ref="Q562:S562"/>
    <mergeCell ref="G568:R568"/>
    <mergeCell ref="M574:R574"/>
    <mergeCell ref="H590:R590"/>
    <mergeCell ref="C629:L629"/>
    <mergeCell ref="T629:V629"/>
    <mergeCell ref="M634:P634"/>
    <mergeCell ref="W633:Y633"/>
    <mergeCell ref="Z630:AB630"/>
    <mergeCell ref="T630:V630"/>
    <mergeCell ref="W565:Y565"/>
    <mergeCell ref="M554:P554"/>
    <mergeCell ref="C554:L554"/>
    <mergeCell ref="C559:L559"/>
    <mergeCell ref="Q554:S554"/>
    <mergeCell ref="AM557:AS557"/>
    <mergeCell ref="AE559:AH559"/>
    <mergeCell ref="AI559:AL559"/>
    <mergeCell ref="G609:R609"/>
    <mergeCell ref="N615:O615"/>
    <mergeCell ref="Z605:AE605"/>
    <mergeCell ref="Z609:AK609"/>
    <mergeCell ref="AA606:AK606"/>
    <mergeCell ref="P605:R605"/>
    <mergeCell ref="Z603:AK603"/>
    <mergeCell ref="N599:O599"/>
    <mergeCell ref="AA590:AK590"/>
    <mergeCell ref="AI597:AK597"/>
    <mergeCell ref="G581:L581"/>
    <mergeCell ref="Z604:AK604"/>
    <mergeCell ref="C563:L563"/>
    <mergeCell ref="AE565:AH565"/>
    <mergeCell ref="G587:R587"/>
    <mergeCell ref="G578:R578"/>
    <mergeCell ref="G610:R610"/>
    <mergeCell ref="AI605:AK605"/>
    <mergeCell ref="G604:R604"/>
    <mergeCell ref="AA582:AK582"/>
    <mergeCell ref="H573:R573"/>
    <mergeCell ref="H598:R598"/>
    <mergeCell ref="Z612:AK612"/>
    <mergeCell ref="AM561:AS561"/>
    <mergeCell ref="AM559:AS559"/>
    <mergeCell ref="Q634:S634"/>
    <mergeCell ref="AK636:AN636"/>
    <mergeCell ref="C637:L637"/>
    <mergeCell ref="Q632:S632"/>
    <mergeCell ref="AM562:AS562"/>
    <mergeCell ref="Q624:S626"/>
    <mergeCell ref="G572:L572"/>
    <mergeCell ref="Z581:AE581"/>
    <mergeCell ref="Z586:AK586"/>
    <mergeCell ref="M565:P565"/>
    <mergeCell ref="T563:V563"/>
    <mergeCell ref="C565:L565"/>
    <mergeCell ref="Z570:AK570"/>
    <mergeCell ref="T565:V565"/>
    <mergeCell ref="G586:R586"/>
    <mergeCell ref="P572:R572"/>
    <mergeCell ref="M564:P564"/>
    <mergeCell ref="B566:AL566"/>
    <mergeCell ref="Z628:AB628"/>
    <mergeCell ref="AK624:AN626"/>
    <mergeCell ref="Z577:AK577"/>
    <mergeCell ref="AF574:AK574"/>
    <mergeCell ref="Z585:AK585"/>
    <mergeCell ref="G579:R579"/>
    <mergeCell ref="G594:R594"/>
    <mergeCell ref="Z594:AK594"/>
    <mergeCell ref="A617:AT618"/>
    <mergeCell ref="B624:L626"/>
    <mergeCell ref="W629:Y629"/>
    <mergeCell ref="AK627:AN627"/>
    <mergeCell ref="M635:P635"/>
    <mergeCell ref="G595:R595"/>
    <mergeCell ref="AM558:AS558"/>
    <mergeCell ref="AM566:AS566"/>
    <mergeCell ref="CP719:CT719"/>
    <mergeCell ref="Z561:AD561"/>
    <mergeCell ref="W560:Y560"/>
    <mergeCell ref="CK722:CL722"/>
    <mergeCell ref="CK719:CL719"/>
    <mergeCell ref="AG607:AH607"/>
    <mergeCell ref="AO624:AS626"/>
    <mergeCell ref="AG591:AH591"/>
    <mergeCell ref="Z632:AB632"/>
    <mergeCell ref="Z611:AK611"/>
    <mergeCell ref="DJ723:DN723"/>
    <mergeCell ref="Z635:AB635"/>
    <mergeCell ref="J704:X704"/>
    <mergeCell ref="K720:N720"/>
    <mergeCell ref="T714:W717"/>
    <mergeCell ref="Z564:AD564"/>
    <mergeCell ref="Z565:AD565"/>
    <mergeCell ref="Z572:AE572"/>
    <mergeCell ref="AI562:AL562"/>
    <mergeCell ref="Z589:AE589"/>
    <mergeCell ref="G585:R585"/>
    <mergeCell ref="AG575:AH575"/>
    <mergeCell ref="Z568:AK568"/>
    <mergeCell ref="Z571:AK571"/>
    <mergeCell ref="AI564:AL564"/>
    <mergeCell ref="H614:R614"/>
    <mergeCell ref="G613:L613"/>
    <mergeCell ref="Z610:AK610"/>
    <mergeCell ref="AC627:AE627"/>
    <mergeCell ref="Q630:S630"/>
    <mergeCell ref="G728:J72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Z631:AB631"/>
    <mergeCell ref="AF624:AJ626"/>
    <mergeCell ref="AO631:AS631"/>
    <mergeCell ref="AA688:AK688"/>
    <mergeCell ref="AO628:AS628"/>
    <mergeCell ref="CM717:CN717"/>
    <mergeCell ref="CM719:CN719"/>
    <mergeCell ref="CM721:CN721"/>
    <mergeCell ref="W703:AK703"/>
    <mergeCell ref="AF636:AJ636"/>
    <mergeCell ref="AF637:AJ637"/>
    <mergeCell ref="AC636:AE636"/>
    <mergeCell ref="T721:W721"/>
    <mergeCell ref="AE695:AI695"/>
    <mergeCell ref="AK723:AO723"/>
    <mergeCell ref="AK724:AO724"/>
    <mergeCell ref="DO728:DS728"/>
    <mergeCell ref="AM564:AS564"/>
    <mergeCell ref="AI581:AK581"/>
    <mergeCell ref="Z601:AK601"/>
    <mergeCell ref="DE717:DI717"/>
    <mergeCell ref="CU719:CY719"/>
    <mergeCell ref="CG718:CH718"/>
    <mergeCell ref="AI589:AK589"/>
    <mergeCell ref="Z596:AK596"/>
    <mergeCell ref="Z644:AK644"/>
    <mergeCell ref="AO636:AS636"/>
    <mergeCell ref="CZ718:DD718"/>
    <mergeCell ref="AF628:AJ628"/>
    <mergeCell ref="AC628:AE628"/>
    <mergeCell ref="Z613:AE613"/>
    <mergeCell ref="Z578:AK578"/>
    <mergeCell ref="Z595:AK595"/>
    <mergeCell ref="AO633:AS633"/>
    <mergeCell ref="AK638:AN638"/>
    <mergeCell ref="Z654:AK654"/>
    <mergeCell ref="Z660:AK660"/>
    <mergeCell ref="AC632:AE632"/>
    <mergeCell ref="AK714:AO717"/>
    <mergeCell ref="AK718:AO718"/>
    <mergeCell ref="AK630:AN630"/>
    <mergeCell ref="AA598:AK598"/>
    <mergeCell ref="Z661:AK661"/>
    <mergeCell ref="AK634:AN634"/>
    <mergeCell ref="EM668:EQ668"/>
    <mergeCell ref="DX670:EB670"/>
    <mergeCell ref="EM664:EQ664"/>
    <mergeCell ref="B641:AN641"/>
    <mergeCell ref="G643:R643"/>
    <mergeCell ref="AE702:AF702"/>
    <mergeCell ref="G645:R645"/>
    <mergeCell ref="AI663:AK663"/>
    <mergeCell ref="AC638:AE638"/>
    <mergeCell ref="G684:R684"/>
    <mergeCell ref="Q638:S638"/>
    <mergeCell ref="AA656:AK656"/>
    <mergeCell ref="H656:R656"/>
    <mergeCell ref="AG649:AH649"/>
    <mergeCell ref="Q631:S631"/>
    <mergeCell ref="T632:V632"/>
    <mergeCell ref="T633:V633"/>
    <mergeCell ref="W634:Y634"/>
    <mergeCell ref="G667:R667"/>
    <mergeCell ref="AE693:AF693"/>
    <mergeCell ref="T631:V631"/>
    <mergeCell ref="G655:L655"/>
    <mergeCell ref="N657:O657"/>
    <mergeCell ref="G671:L671"/>
    <mergeCell ref="EM643:EQ643"/>
    <mergeCell ref="EM654:EQ654"/>
    <mergeCell ref="C638:L638"/>
    <mergeCell ref="M636:P636"/>
    <mergeCell ref="AA664:AK664"/>
    <mergeCell ref="T636:V636"/>
    <mergeCell ref="T637:V637"/>
    <mergeCell ref="H672:R672"/>
    <mergeCell ref="DO729:DS729"/>
    <mergeCell ref="AF633:AJ633"/>
    <mergeCell ref="DJ731:DN731"/>
    <mergeCell ref="DJ729:DN729"/>
    <mergeCell ref="DE719:DI719"/>
    <mergeCell ref="CZ720:DD720"/>
    <mergeCell ref="AK729:AO729"/>
    <mergeCell ref="DX668:EB668"/>
    <mergeCell ref="EC668:EG668"/>
    <mergeCell ref="DO718:DS718"/>
    <mergeCell ref="DO719:DS719"/>
    <mergeCell ref="AK628:AN628"/>
    <mergeCell ref="Z647:AE647"/>
    <mergeCell ref="AC720:AG720"/>
    <mergeCell ref="AK721:AO721"/>
    <mergeCell ref="Z687:AE687"/>
    <mergeCell ref="AH718:AJ718"/>
    <mergeCell ref="DJ724:DN724"/>
    <mergeCell ref="DO727:DS727"/>
    <mergeCell ref="X726:AB726"/>
    <mergeCell ref="AF632:AJ632"/>
    <mergeCell ref="AC631:AE631"/>
    <mergeCell ref="AC629:AE629"/>
    <mergeCell ref="AO640:AS640"/>
    <mergeCell ref="W636:Y636"/>
    <mergeCell ref="CG719:CH719"/>
    <mergeCell ref="CI721:CJ721"/>
    <mergeCell ref="DZ718:ED718"/>
    <mergeCell ref="EE718:EI718"/>
    <mergeCell ref="DJ718:DN718"/>
    <mergeCell ref="CZ719:DD719"/>
    <mergeCell ref="DZ731:ED731"/>
    <mergeCell ref="DU728:DY728"/>
    <mergeCell ref="DU722:DY722"/>
    <mergeCell ref="DO725:DS725"/>
    <mergeCell ref="DO721:DS721"/>
    <mergeCell ref="Z671:AE671"/>
    <mergeCell ref="CP721:CT721"/>
    <mergeCell ref="AF631:AJ631"/>
    <mergeCell ref="AK633:AN633"/>
    <mergeCell ref="Z645:AK645"/>
    <mergeCell ref="AE699:AI699"/>
    <mergeCell ref="DE720:DI720"/>
    <mergeCell ref="DE724:DI724"/>
    <mergeCell ref="AA672:AK672"/>
    <mergeCell ref="Z684:AK684"/>
    <mergeCell ref="DX652:EB652"/>
    <mergeCell ref="EC652:EG652"/>
    <mergeCell ref="DU725:DY725"/>
    <mergeCell ref="DZ725:ED725"/>
    <mergeCell ref="DU723:DY723"/>
    <mergeCell ref="DZ723:ED723"/>
    <mergeCell ref="DZ720:ED720"/>
    <mergeCell ref="DU721:DY721"/>
    <mergeCell ref="EE721:EI721"/>
    <mergeCell ref="DO722:DS722"/>
    <mergeCell ref="DO723:DS723"/>
    <mergeCell ref="DO724:DS724"/>
    <mergeCell ref="DJ721:DN721"/>
    <mergeCell ref="DO726:DS726"/>
    <mergeCell ref="AK722:AO722"/>
    <mergeCell ref="AH721:AJ721"/>
    <mergeCell ref="CP727:CT727"/>
    <mergeCell ref="CI727:CJ727"/>
    <mergeCell ref="DJ728:DN728"/>
    <mergeCell ref="AC719:AG719"/>
    <mergeCell ref="Z653:AK653"/>
    <mergeCell ref="AC729:AG729"/>
    <mergeCell ref="AC727:AG727"/>
    <mergeCell ref="AC728:AG728"/>
    <mergeCell ref="AC731:AG731"/>
    <mergeCell ref="EC648:EG648"/>
    <mergeCell ref="DU727:DY727"/>
    <mergeCell ref="EE726:EI726"/>
    <mergeCell ref="Z629:AB629"/>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DZ717:ED717"/>
    <mergeCell ref="AC630:AE630"/>
    <mergeCell ref="EO730:ES730"/>
    <mergeCell ref="ET730:EX730"/>
    <mergeCell ref="CU734:CY734"/>
    <mergeCell ref="CP736:CT736"/>
    <mergeCell ref="X735:AB735"/>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DO730:DS730"/>
    <mergeCell ref="DO731:DS731"/>
    <mergeCell ref="AH733:AJ733"/>
    <mergeCell ref="P816:Y816"/>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825:X825"/>
    <mergeCell ref="Z814:AE814"/>
    <mergeCell ref="DE739:DI739"/>
    <mergeCell ref="CZ735:DD735"/>
    <mergeCell ref="AC751:AG751"/>
    <mergeCell ref="AD759:AF759"/>
    <mergeCell ref="CI737:CJ737"/>
    <mergeCell ref="X773:AB773"/>
    <mergeCell ref="M955:S955"/>
    <mergeCell ref="U928:Z928"/>
    <mergeCell ref="U948:Z948"/>
    <mergeCell ref="U935:Z935"/>
    <mergeCell ref="AA923:AF923"/>
    <mergeCell ref="D1046:AE1047"/>
    <mergeCell ref="M826:P826"/>
    <mergeCell ref="M871:V871"/>
    <mergeCell ref="M878:V878"/>
    <mergeCell ref="Q825:T825"/>
    <mergeCell ref="W870:AC870"/>
    <mergeCell ref="U946:Z946"/>
    <mergeCell ref="AA944:AF944"/>
    <mergeCell ref="W843:AC843"/>
    <mergeCell ref="AA928:AF928"/>
    <mergeCell ref="AA936:AF936"/>
    <mergeCell ref="U943:Z943"/>
    <mergeCell ref="U941:Z941"/>
    <mergeCell ref="AA943:AF943"/>
    <mergeCell ref="AC885:AH885"/>
    <mergeCell ref="W861:AC861"/>
    <mergeCell ref="C895:AB895"/>
    <mergeCell ref="F946:H946"/>
    <mergeCell ref="AA967:AG967"/>
    <mergeCell ref="F926:T926"/>
    <mergeCell ref="M959:S959"/>
    <mergeCell ref="W855:AC855"/>
    <mergeCell ref="W852:AC852"/>
    <mergeCell ref="W853:AC853"/>
    <mergeCell ref="AC828:AF828"/>
    <mergeCell ref="Y826:AB826"/>
    <mergeCell ref="F937:T937"/>
    <mergeCell ref="Q832:T832"/>
    <mergeCell ref="AG830:AJ830"/>
    <mergeCell ref="U832:X832"/>
    <mergeCell ref="M832:P832"/>
    <mergeCell ref="W866:AC866"/>
    <mergeCell ref="W859:AC859"/>
    <mergeCell ref="W849:AC849"/>
    <mergeCell ref="AA945:AF945"/>
    <mergeCell ref="C826:H826"/>
    <mergeCell ref="C827:H827"/>
    <mergeCell ref="I949:T949"/>
    <mergeCell ref="U938:Z938"/>
    <mergeCell ref="U937:Z937"/>
    <mergeCell ref="AA937:AF937"/>
    <mergeCell ref="F942:T942"/>
    <mergeCell ref="U942:Z942"/>
    <mergeCell ref="AA942:AF942"/>
    <mergeCell ref="C892:AB892"/>
    <mergeCell ref="U924:Z924"/>
    <mergeCell ref="U933:Z933"/>
    <mergeCell ref="U934:Z934"/>
    <mergeCell ref="F930:T930"/>
    <mergeCell ref="F931:T931"/>
    <mergeCell ref="U936:Z936"/>
    <mergeCell ref="AA940:AF940"/>
    <mergeCell ref="AB917:AE917"/>
    <mergeCell ref="AA922:AF922"/>
    <mergeCell ref="Q830:T830"/>
    <mergeCell ref="AG831:AJ831"/>
    <mergeCell ref="Q828:T828"/>
    <mergeCell ref="U828:X828"/>
    <mergeCell ref="AG828:AJ828"/>
    <mergeCell ref="C766:AR768"/>
    <mergeCell ref="F944:T944"/>
    <mergeCell ref="U944:Z944"/>
    <mergeCell ref="W842:AC842"/>
    <mergeCell ref="W847:AC847"/>
    <mergeCell ref="W854:AC854"/>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F940:T940"/>
    <mergeCell ref="U939:Z939"/>
    <mergeCell ref="U940:Z940"/>
    <mergeCell ref="AA938:AF938"/>
    <mergeCell ref="U923:Z923"/>
    <mergeCell ref="AC893:AH893"/>
    <mergeCell ref="U925:Z925"/>
    <mergeCell ref="A910:AT911"/>
    <mergeCell ref="F936:T936"/>
    <mergeCell ref="AA931:AF931"/>
    <mergeCell ref="U932:Z932"/>
    <mergeCell ref="AA932:AF932"/>
    <mergeCell ref="F938:T938"/>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U920:Z920"/>
    <mergeCell ref="M968:S968"/>
    <mergeCell ref="F932:T932"/>
    <mergeCell ref="AA939:AF939"/>
    <mergeCell ref="AE956:AK956"/>
    <mergeCell ref="P945:T945"/>
    <mergeCell ref="F927:T927"/>
    <mergeCell ref="U949:Z949"/>
    <mergeCell ref="F928:T928"/>
    <mergeCell ref="U926:Z926"/>
    <mergeCell ref="AA926:AF926"/>
    <mergeCell ref="U927:Z927"/>
    <mergeCell ref="AA927:AF927"/>
    <mergeCell ref="F929:T929"/>
    <mergeCell ref="AC887:AH887"/>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D1125:AK1127"/>
    <mergeCell ref="M958:S958"/>
    <mergeCell ref="K752:N752"/>
    <mergeCell ref="J774:N774"/>
    <mergeCell ref="AA972:AG972"/>
    <mergeCell ref="AA920:AF920"/>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O748:S748"/>
    <mergeCell ref="T775:W775"/>
    <mergeCell ref="C763:AR765"/>
    <mergeCell ref="AC752:AG752"/>
    <mergeCell ref="T749:W749"/>
    <mergeCell ref="K750:N750"/>
    <mergeCell ref="X748:AB748"/>
    <mergeCell ref="X749:AB749"/>
    <mergeCell ref="X750:AB750"/>
    <mergeCell ref="AC749:AG749"/>
    <mergeCell ref="AC750:AG750"/>
    <mergeCell ref="O728:S728"/>
    <mergeCell ref="AH737:AJ737"/>
    <mergeCell ref="AH738:AJ738"/>
    <mergeCell ref="AH736:AJ736"/>
    <mergeCell ref="AA919:AF919"/>
    <mergeCell ref="AA947:AF947"/>
    <mergeCell ref="Y830:AB830"/>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B739:F739"/>
    <mergeCell ref="B752:F752"/>
    <mergeCell ref="O750:S750"/>
    <mergeCell ref="G739:J739"/>
    <mergeCell ref="X741:AB741"/>
    <mergeCell ref="O747:S747"/>
    <mergeCell ref="T747:W747"/>
    <mergeCell ref="AC748:AG748"/>
    <mergeCell ref="B740:F740"/>
    <mergeCell ref="O739:S739"/>
    <mergeCell ref="O740:S740"/>
    <mergeCell ref="K741:N741"/>
    <mergeCell ref="G741:J741"/>
    <mergeCell ref="P671:R671"/>
    <mergeCell ref="B751:F751"/>
    <mergeCell ref="T739:W739"/>
    <mergeCell ref="O732:S732"/>
    <mergeCell ref="G737:J737"/>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AC739:AG739"/>
    <mergeCell ref="X732:AB732"/>
    <mergeCell ref="K734:N734"/>
    <mergeCell ref="G753:J753"/>
    <mergeCell ref="T744:W744"/>
    <mergeCell ref="K745:N745"/>
    <mergeCell ref="G735:J735"/>
    <mergeCell ref="K743:N743"/>
    <mergeCell ref="O743:S743"/>
    <mergeCell ref="T743:W743"/>
    <mergeCell ref="K744:N744"/>
    <mergeCell ref="AH750:AJ750"/>
    <mergeCell ref="O791:S791"/>
    <mergeCell ref="AJ992:AQ992"/>
    <mergeCell ref="AJ993:AQ993"/>
    <mergeCell ref="AJ1053:AQ1053"/>
    <mergeCell ref="AG1029:AH1029"/>
    <mergeCell ref="D1037:AE1040"/>
    <mergeCell ref="AJ1036:AQ1040"/>
    <mergeCell ref="D1041:AE1041"/>
    <mergeCell ref="D1042:AE1044"/>
    <mergeCell ref="AJ1041:AQ1044"/>
    <mergeCell ref="D1030:AE1031"/>
    <mergeCell ref="B993:AE993"/>
    <mergeCell ref="D1045:AE1045"/>
    <mergeCell ref="D1014:AE1015"/>
    <mergeCell ref="AG1045:AH1045"/>
    <mergeCell ref="D1017:AE1019"/>
    <mergeCell ref="AG1032:AH1032"/>
    <mergeCell ref="D1036:AE1036"/>
    <mergeCell ref="AG1041:AH1041"/>
    <mergeCell ref="K736:N736"/>
    <mergeCell ref="G736:J736"/>
    <mergeCell ref="O756:R756"/>
    <mergeCell ref="AC747:AG747"/>
    <mergeCell ref="J773:N773"/>
    <mergeCell ref="O773:S773"/>
    <mergeCell ref="T752:W752"/>
    <mergeCell ref="AJ1029:AQ1031"/>
    <mergeCell ref="D1029:AE1029"/>
    <mergeCell ref="B991:AA991"/>
    <mergeCell ref="D994:AE994"/>
    <mergeCell ref="D1000:AE1000"/>
    <mergeCell ref="U823:X824"/>
    <mergeCell ref="Q823:T824"/>
    <mergeCell ref="Z809:AE809"/>
    <mergeCell ref="B737:F737"/>
    <mergeCell ref="K746:N746"/>
    <mergeCell ref="T751:W751"/>
    <mergeCell ref="K748:N748"/>
    <mergeCell ref="J776:N776"/>
    <mergeCell ref="AG756:AJ756"/>
    <mergeCell ref="AJ1025:AQ1028"/>
    <mergeCell ref="AJ987:AQ987"/>
    <mergeCell ref="AJ988:AQ988"/>
    <mergeCell ref="B992:AI992"/>
    <mergeCell ref="R987:AA987"/>
    <mergeCell ref="D1022:AE1023"/>
    <mergeCell ref="D988:Q988"/>
    <mergeCell ref="D989:Q989"/>
    <mergeCell ref="R988:AA988"/>
    <mergeCell ref="O974:P974"/>
    <mergeCell ref="J783:N786"/>
    <mergeCell ref="T790:W790"/>
    <mergeCell ref="T793:W793"/>
    <mergeCell ref="O775:S775"/>
    <mergeCell ref="J792:N792"/>
    <mergeCell ref="Z806:AE806"/>
    <mergeCell ref="X791:AB791"/>
    <mergeCell ref="O790:S790"/>
    <mergeCell ref="Z818:AE818"/>
    <mergeCell ref="T795:W795"/>
    <mergeCell ref="T776:W776"/>
    <mergeCell ref="X774:AB774"/>
    <mergeCell ref="O776:S776"/>
    <mergeCell ref="O769:S772"/>
    <mergeCell ref="B754:AH755"/>
    <mergeCell ref="AE960:AK960"/>
    <mergeCell ref="AE961:AK961"/>
    <mergeCell ref="AG1036:AH1036"/>
    <mergeCell ref="D1026:AE1028"/>
    <mergeCell ref="U915:Z917"/>
    <mergeCell ref="U950:Z950"/>
    <mergeCell ref="AA975:AG975"/>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FY721:GC721"/>
    <mergeCell ref="EZ722:FD722"/>
    <mergeCell ref="FE722:FI722"/>
    <mergeCell ref="FJ722:FN722"/>
    <mergeCell ref="FO722:FS722"/>
    <mergeCell ref="FT722:FX722"/>
    <mergeCell ref="FY722:GC722"/>
    <mergeCell ref="FY720:GC720"/>
    <mergeCell ref="AG1011:AH1011"/>
    <mergeCell ref="AG1013:AH1013"/>
    <mergeCell ref="AG1016:AH1016"/>
    <mergeCell ref="AG1020:AH1020"/>
    <mergeCell ref="D1016:AE1016"/>
    <mergeCell ref="D1008:AE1010"/>
    <mergeCell ref="AF1021:AI1022"/>
    <mergeCell ref="FO730:FS730"/>
    <mergeCell ref="FT730:FX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T725:FX725"/>
    <mergeCell ref="FT724:FX724"/>
    <mergeCell ref="FY724:GC724"/>
    <mergeCell ref="FJ724:FN724"/>
    <mergeCell ref="FJ723:FN723"/>
    <mergeCell ref="FO723:FS723"/>
    <mergeCell ref="FT723:FX723"/>
    <mergeCell ref="FY723:GC723"/>
    <mergeCell ref="O744:S744"/>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EO737:ES737"/>
    <mergeCell ref="DU737:DY737"/>
    <mergeCell ref="DU735:DY735"/>
    <mergeCell ref="DJ730:DN730"/>
    <mergeCell ref="EE717:EI717"/>
    <mergeCell ref="EJ720:EN720"/>
    <mergeCell ref="EO722:ES722"/>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Z724:FD724"/>
    <mergeCell ref="EZ721:FD721"/>
    <mergeCell ref="EZ723:FD723"/>
    <mergeCell ref="DO737:DS737"/>
    <mergeCell ref="DO738:DS738"/>
    <mergeCell ref="EZ720:FD720"/>
    <mergeCell ref="FE720:FI720"/>
    <mergeCell ref="DZ733:ED733"/>
    <mergeCell ref="EM657:EQ657"/>
    <mergeCell ref="ET717:EX717"/>
    <mergeCell ref="EE729:EI729"/>
    <mergeCell ref="EO731:ES731"/>
    <mergeCell ref="DZ724:ED724"/>
    <mergeCell ref="ET723:EX723"/>
    <mergeCell ref="EE725:EI725"/>
    <mergeCell ref="DU734:DY734"/>
    <mergeCell ref="EM670:EQ670"/>
    <mergeCell ref="DU729:DY729"/>
    <mergeCell ref="DZ734:ED734"/>
    <mergeCell ref="DU726:DY726"/>
    <mergeCell ref="EO721:ES721"/>
    <mergeCell ref="EO728:ES728"/>
    <mergeCell ref="ET728:EX728"/>
    <mergeCell ref="EO720:ES720"/>
    <mergeCell ref="ET731:EX731"/>
    <mergeCell ref="EJ727:EN727"/>
    <mergeCell ref="EO729:ES729"/>
    <mergeCell ref="EO732:ES732"/>
    <mergeCell ref="ET729:EX729"/>
    <mergeCell ref="EO719:ES719"/>
    <mergeCell ref="ET719:EX719"/>
    <mergeCell ref="DU733:DY733"/>
    <mergeCell ref="EJ726:EN726"/>
    <mergeCell ref="DO720:DS720"/>
    <mergeCell ref="DU718:DY718"/>
    <mergeCell ref="EW656:FA656"/>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X662:EB662"/>
    <mergeCell ref="EC662:EG662"/>
    <mergeCell ref="EH662:EL662"/>
    <mergeCell ref="DX659:EB659"/>
    <mergeCell ref="ER660:EV660"/>
    <mergeCell ref="EC654:EG654"/>
    <mergeCell ref="EH654:EL654"/>
    <mergeCell ref="DX657:EB657"/>
    <mergeCell ref="EC657:EG657"/>
    <mergeCell ref="EH657:EL657"/>
    <mergeCell ref="DX649:EB649"/>
    <mergeCell ref="DX655:EB655"/>
    <mergeCell ref="EC640:EG640"/>
    <mergeCell ref="EW640:FA640"/>
    <mergeCell ref="ER643:EV643"/>
    <mergeCell ref="ER640:EV640"/>
    <mergeCell ref="EH660:EL660"/>
    <mergeCell ref="EM660:EQ660"/>
    <mergeCell ref="EW639:FA639"/>
    <mergeCell ref="FE717:FI717"/>
    <mergeCell ref="FJ717:FN717"/>
    <mergeCell ref="FO717:FS717"/>
    <mergeCell ref="EO724:ES724"/>
    <mergeCell ref="ET724:EX724"/>
    <mergeCell ref="EO726:ES726"/>
    <mergeCell ref="ET726:EX726"/>
    <mergeCell ref="ET720:EX720"/>
    <mergeCell ref="EJ724:EN724"/>
    <mergeCell ref="EO723:ES723"/>
    <mergeCell ref="EO718:ES718"/>
    <mergeCell ref="DU720:DY720"/>
    <mergeCell ref="EJ718:EN718"/>
    <mergeCell ref="EJ722:EN722"/>
    <mergeCell ref="FJ721:FN721"/>
    <mergeCell ref="FO721:FS721"/>
    <mergeCell ref="FE721:FI721"/>
    <mergeCell ref="FE725:FI725"/>
    <mergeCell ref="FE723:FI723"/>
    <mergeCell ref="FO724:FS724"/>
    <mergeCell ref="EZ725:FD725"/>
    <mergeCell ref="ET725:EX725"/>
    <mergeCell ref="DU724:DY724"/>
    <mergeCell ref="DZ726:ED726"/>
    <mergeCell ref="ET718:EX718"/>
    <mergeCell ref="EE719:EI719"/>
    <mergeCell ref="EJ719:EN719"/>
    <mergeCell ref="DZ719:ED719"/>
    <mergeCell ref="ET722:EX722"/>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EJ721:EN721"/>
    <mergeCell ref="DZ721:ED721"/>
    <mergeCell ref="DZ722:ED722"/>
    <mergeCell ref="DU717:DY717"/>
    <mergeCell ref="DU719:DY719"/>
    <mergeCell ref="FJ720:FN720"/>
    <mergeCell ref="FO720:FS720"/>
    <mergeCell ref="EZ717:FD717"/>
    <mergeCell ref="DO752:DS752"/>
    <mergeCell ref="DE751:DI751"/>
    <mergeCell ref="EE752:EI752"/>
    <mergeCell ref="CG745:CH745"/>
    <mergeCell ref="CI745:CJ745"/>
    <mergeCell ref="FO740:FS740"/>
    <mergeCell ref="EC637:EG637"/>
    <mergeCell ref="EH637:EL637"/>
    <mergeCell ref="T624:V626"/>
    <mergeCell ref="ET751:EX751"/>
    <mergeCell ref="EJ751:EN751"/>
    <mergeCell ref="EO739:ES739"/>
    <mergeCell ref="ET739:EX739"/>
    <mergeCell ref="T627:V627"/>
    <mergeCell ref="EH648:EL648"/>
    <mergeCell ref="EH651:EL651"/>
    <mergeCell ref="EH650:EL650"/>
    <mergeCell ref="AK736:AO736"/>
    <mergeCell ref="EO736:ES736"/>
    <mergeCell ref="CI730:CJ730"/>
    <mergeCell ref="DO735:DS735"/>
    <mergeCell ref="DO736:DS736"/>
    <mergeCell ref="CI736:CJ736"/>
    <mergeCell ref="CZ737:DD737"/>
    <mergeCell ref="EW670:FA670"/>
    <mergeCell ref="EH666:EL666"/>
    <mergeCell ref="EH668:EL668"/>
    <mergeCell ref="ER664:EV664"/>
    <mergeCell ref="EC667:EG667"/>
    <mergeCell ref="EH667:EL667"/>
    <mergeCell ref="EM666:EQ666"/>
    <mergeCell ref="ER666:EV666"/>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AO627:AS627"/>
    <mergeCell ref="EO752:ES752"/>
    <mergeCell ref="EJ752:EN752"/>
    <mergeCell ref="ET738:EX738"/>
    <mergeCell ref="DU738:DY738"/>
    <mergeCell ref="CK745:CL745"/>
    <mergeCell ref="CP753:CT753"/>
    <mergeCell ref="DO732:DS732"/>
    <mergeCell ref="CK751:CL751"/>
    <mergeCell ref="DJ734:DN734"/>
    <mergeCell ref="AO637:AS637"/>
    <mergeCell ref="EM641:EQ641"/>
    <mergeCell ref="ER655:EV655"/>
    <mergeCell ref="FJ740:FN740"/>
    <mergeCell ref="ET737:EX737"/>
    <mergeCell ref="EJ753:EN753"/>
    <mergeCell ref="DO740:DS740"/>
    <mergeCell ref="DJ740:DN740"/>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DE740:DI740"/>
    <mergeCell ref="DU740:DY740"/>
    <mergeCell ref="DZ740:ED740"/>
    <mergeCell ref="EE740:EI740"/>
    <mergeCell ref="EJ740:EN740"/>
    <mergeCell ref="CU775:CY775"/>
    <mergeCell ref="EE745:EI745"/>
    <mergeCell ref="EO745:ES745"/>
    <mergeCell ref="DU749:DY749"/>
    <mergeCell ref="DZ749:ED749"/>
    <mergeCell ref="CZ751:DD751"/>
    <mergeCell ref="CZ753:DD753"/>
    <mergeCell ref="DJ773:DN773"/>
    <mergeCell ref="DJ777:DN777"/>
    <mergeCell ref="CZ774:DD774"/>
    <mergeCell ref="CP775:CT775"/>
    <mergeCell ref="CP776:CT776"/>
    <mergeCell ref="DO754:DS754"/>
    <mergeCell ref="CI751:CJ751"/>
    <mergeCell ref="CP735:CT735"/>
    <mergeCell ref="DJ736:DN736"/>
    <mergeCell ref="DE736:DI736"/>
    <mergeCell ref="CM740:CN740"/>
    <mergeCell ref="AK749:AO749"/>
    <mergeCell ref="EJ739:EN739"/>
    <mergeCell ref="AK751:AO751"/>
    <mergeCell ref="EM662:EQ662"/>
    <mergeCell ref="ER662:EV662"/>
    <mergeCell ref="CU718:CY718"/>
    <mergeCell ref="CP717:CT717"/>
    <mergeCell ref="AK720:AO720"/>
    <mergeCell ref="EW660:FA660"/>
    <mergeCell ref="DX661:EB661"/>
    <mergeCell ref="DX645:EB645"/>
    <mergeCell ref="ER657:EV657"/>
    <mergeCell ref="EW657:FA657"/>
    <mergeCell ref="EH659:EL659"/>
    <mergeCell ref="EC661:EG661"/>
    <mergeCell ref="EH661:EL661"/>
    <mergeCell ref="EM651:EQ651"/>
    <mergeCell ref="ER649:EV649"/>
    <mergeCell ref="EH647:EL647"/>
    <mergeCell ref="EM647:EQ647"/>
    <mergeCell ref="DX648:EB648"/>
    <mergeCell ref="DX651:EB651"/>
    <mergeCell ref="EC651:EG651"/>
    <mergeCell ref="EM648:EQ648"/>
    <mergeCell ref="EO740:ES740"/>
    <mergeCell ref="EO738:ES738"/>
    <mergeCell ref="ER654:EV654"/>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R669:EV669"/>
    <mergeCell ref="ER668:EV668"/>
    <mergeCell ref="EW668:FA668"/>
    <mergeCell ref="EW664:FA664"/>
    <mergeCell ref="EW666:FA666"/>
    <mergeCell ref="EW654:FA654"/>
    <mergeCell ref="DX647:EB647"/>
    <mergeCell ref="ER661:EV661"/>
    <mergeCell ref="EM649:EQ649"/>
    <mergeCell ref="EW655:FA655"/>
    <mergeCell ref="EW650:FA650"/>
    <mergeCell ref="EW648:FA648"/>
    <mergeCell ref="EW651:FA651"/>
    <mergeCell ref="EW649:FA649"/>
    <mergeCell ref="EW652:FA652"/>
    <mergeCell ref="DJ775:DN775"/>
    <mergeCell ref="CU739:CY739"/>
    <mergeCell ref="EH655:EL655"/>
    <mergeCell ref="EM655:EQ655"/>
    <mergeCell ref="EO717:ES717"/>
    <mergeCell ref="CU721:CY721"/>
    <mergeCell ref="EJ729:EN729"/>
    <mergeCell ref="EJ717:EN717"/>
    <mergeCell ref="DJ720:DN720"/>
    <mergeCell ref="DJ717:DN717"/>
    <mergeCell ref="DJ722:DN722"/>
    <mergeCell ref="DE776:DI776"/>
    <mergeCell ref="DJ746:DN746"/>
    <mergeCell ref="DO746:DS746"/>
    <mergeCell ref="CZ746:DD746"/>
    <mergeCell ref="DE744:DI744"/>
    <mergeCell ref="DE750:DI750"/>
    <mergeCell ref="DJ750:DN750"/>
    <mergeCell ref="DO774:DS774"/>
    <mergeCell ref="DU753:DY753"/>
    <mergeCell ref="DZ753:ED753"/>
    <mergeCell ref="DE774:DI774"/>
    <mergeCell ref="DE721:DI721"/>
    <mergeCell ref="DE723:DI723"/>
    <mergeCell ref="DU739:DY739"/>
    <mergeCell ref="DZ739:ED739"/>
    <mergeCell ref="EE739:EI739"/>
    <mergeCell ref="DO753:DS753"/>
    <mergeCell ref="DO773:DS773"/>
    <mergeCell ref="DJ751:DN751"/>
    <mergeCell ref="DE753:DI753"/>
    <mergeCell ref="DO751:DS751"/>
    <mergeCell ref="EM652:EQ652"/>
    <mergeCell ref="DX650:EB650"/>
    <mergeCell ref="EC650:EG650"/>
    <mergeCell ref="EC655:EG655"/>
    <mergeCell ref="DX667:EB667"/>
    <mergeCell ref="EE734:EI734"/>
    <mergeCell ref="DU731:DY731"/>
    <mergeCell ref="DJ738:DN738"/>
    <mergeCell ref="AA573:AK573"/>
    <mergeCell ref="DZ738:ED738"/>
    <mergeCell ref="EE738:EI738"/>
    <mergeCell ref="EJ738:EN738"/>
    <mergeCell ref="EM636:EQ636"/>
    <mergeCell ref="DX637:EB637"/>
    <mergeCell ref="AC633:AE633"/>
    <mergeCell ref="B639:AN639"/>
    <mergeCell ref="B640:AN640"/>
    <mergeCell ref="B719:F719"/>
    <mergeCell ref="Z646:AK646"/>
    <mergeCell ref="G580:R580"/>
    <mergeCell ref="W631:Y631"/>
    <mergeCell ref="AG615:AH615"/>
    <mergeCell ref="G612:R612"/>
    <mergeCell ref="Q636:S636"/>
    <mergeCell ref="Q637:S637"/>
    <mergeCell ref="C636:L636"/>
    <mergeCell ref="N665:O665"/>
    <mergeCell ref="G611:R611"/>
    <mergeCell ref="Z602:AK602"/>
    <mergeCell ref="K738:N738"/>
    <mergeCell ref="G647:L647"/>
    <mergeCell ref="T733:W733"/>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G601:R601"/>
    <mergeCell ref="M624:P626"/>
    <mergeCell ref="AM565:AS565"/>
    <mergeCell ref="AE563:AH563"/>
    <mergeCell ref="AM563:AS563"/>
    <mergeCell ref="M630:P630"/>
    <mergeCell ref="M631:P631"/>
    <mergeCell ref="M632:P632"/>
    <mergeCell ref="Q633:S633"/>
    <mergeCell ref="AM556:AS556"/>
    <mergeCell ref="Z434:AA434"/>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O734:S734"/>
    <mergeCell ref="K739:N739"/>
    <mergeCell ref="AC734:AG734"/>
    <mergeCell ref="AC735:AG735"/>
    <mergeCell ref="B714:F717"/>
    <mergeCell ref="G729:J729"/>
    <mergeCell ref="B726:F726"/>
    <mergeCell ref="K731:N731"/>
    <mergeCell ref="O731:S731"/>
    <mergeCell ref="AK737:AO737"/>
    <mergeCell ref="X734:AB734"/>
    <mergeCell ref="X724:AB724"/>
    <mergeCell ref="AC721:AG721"/>
    <mergeCell ref="AC722:AG722"/>
    <mergeCell ref="B723:F723"/>
    <mergeCell ref="G685:R685"/>
    <mergeCell ref="AK727:AO727"/>
    <mergeCell ref="AH724:AJ724"/>
    <mergeCell ref="K729:N729"/>
    <mergeCell ref="B718:F718"/>
    <mergeCell ref="AC733:AG733"/>
    <mergeCell ref="X721:AB721"/>
    <mergeCell ref="X727:AB727"/>
    <mergeCell ref="K728:N728"/>
    <mergeCell ref="T718:W718"/>
    <mergeCell ref="O721:S721"/>
    <mergeCell ref="K722:N722"/>
    <mergeCell ref="K723:N723"/>
    <mergeCell ref="T723:W723"/>
    <mergeCell ref="K721:N721"/>
    <mergeCell ref="K730:N730"/>
    <mergeCell ref="O727:S727"/>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O736:S736"/>
    <mergeCell ref="F975:L975"/>
    <mergeCell ref="M975:S975"/>
    <mergeCell ref="D985:Q985"/>
    <mergeCell ref="G740:J740"/>
    <mergeCell ref="M972:S972"/>
    <mergeCell ref="D1053:AI1053"/>
    <mergeCell ref="D1049:AE1049"/>
    <mergeCell ref="D1032:AE1032"/>
    <mergeCell ref="D1050:AE1051"/>
    <mergeCell ref="X1048:Y1048"/>
    <mergeCell ref="X1052:Y1052"/>
    <mergeCell ref="I1048:J1048"/>
    <mergeCell ref="I1052:J1052"/>
    <mergeCell ref="AG1049:AH1049"/>
    <mergeCell ref="AG1025:AH1025"/>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O737:S737"/>
    <mergeCell ref="O738:S738"/>
    <mergeCell ref="T740:W740"/>
    <mergeCell ref="AO641:AS641"/>
    <mergeCell ref="Z651:AK651"/>
    <mergeCell ref="K737:N737"/>
    <mergeCell ref="Z676:AK676"/>
    <mergeCell ref="W700:AK700"/>
    <mergeCell ref="Z683:AK683"/>
    <mergeCell ref="C1089:D1089"/>
    <mergeCell ref="C1090:D1090"/>
    <mergeCell ref="C1091:D1091"/>
    <mergeCell ref="AK738:AO738"/>
    <mergeCell ref="Z686:AK686"/>
    <mergeCell ref="G730:J730"/>
    <mergeCell ref="X730:AB730"/>
    <mergeCell ref="X731:AB731"/>
    <mergeCell ref="AH732:AJ732"/>
    <mergeCell ref="Z675:AK675"/>
    <mergeCell ref="T737:W737"/>
    <mergeCell ref="X739:AB739"/>
    <mergeCell ref="C1079:D1079"/>
    <mergeCell ref="C1080:D1080"/>
    <mergeCell ref="C1081:D1081"/>
    <mergeCell ref="C1082:D1082"/>
    <mergeCell ref="C1083:D1083"/>
    <mergeCell ref="C1084:D1084"/>
    <mergeCell ref="C1085:D1085"/>
    <mergeCell ref="C1087:D1087"/>
    <mergeCell ref="C1088:D1088"/>
    <mergeCell ref="A1081:B1081"/>
    <mergeCell ref="A1075:B1075"/>
    <mergeCell ref="A1070:B107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A1097:B109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D986:Q986"/>
    <mergeCell ref="AB985:AI985"/>
    <mergeCell ref="AB986:AI986"/>
    <mergeCell ref="AB987:AI987"/>
    <mergeCell ref="D987:Q987"/>
    <mergeCell ref="AA973:AG973"/>
    <mergeCell ref="R985:AA985"/>
    <mergeCell ref="A979:AT981"/>
    <mergeCell ref="AJ985:AQ985"/>
    <mergeCell ref="AJ1013:AQ1015"/>
    <mergeCell ref="AJ1016:AQ1019"/>
    <mergeCell ref="J1024:AE1024"/>
    <mergeCell ref="D1013:AE1013"/>
    <mergeCell ref="AF993:AI993"/>
    <mergeCell ref="AG994:AH994"/>
    <mergeCell ref="AG1001:AH1001"/>
    <mergeCell ref="AG1007:AH1007"/>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A67" zoomScale="90" zoomScaleNormal="90" workbookViewId="0">
      <selection activeCell="S105" sqref="S105"/>
    </sheetView>
  </sheetViews>
  <sheetFormatPr defaultColWidth="0" defaultRowHeight="12" zeroHeight="1"/>
  <cols>
    <col min="1" max="1" width="35.7109375" style="187"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549</v>
      </c>
      <c r="B1" s="125"/>
      <c r="C1" s="125"/>
      <c r="D1" s="125"/>
      <c r="E1" s="126"/>
      <c r="F1" s="1858" t="s">
        <v>621</v>
      </c>
      <c r="G1" s="1859"/>
      <c r="H1" s="1859"/>
      <c r="I1" s="1859"/>
      <c r="J1" s="1859"/>
      <c r="K1" s="1859"/>
      <c r="L1" s="1859"/>
      <c r="M1" s="1859"/>
      <c r="N1" s="1859"/>
      <c r="O1" s="1859"/>
      <c r="P1" s="1859"/>
      <c r="Q1" s="1859"/>
      <c r="R1" s="1860"/>
      <c r="S1" s="112"/>
      <c r="T1" s="111"/>
      <c r="U1" s="113"/>
    </row>
    <row r="2" spans="1:21" s="138" customFormat="1" ht="71.25" customHeight="1">
      <c r="A2" s="137"/>
      <c r="B2" s="138" t="s">
        <v>23</v>
      </c>
      <c r="C2" s="138" t="s">
        <v>373</v>
      </c>
      <c r="D2" s="138" t="s">
        <v>372</v>
      </c>
      <c r="E2" s="138" t="s">
        <v>24</v>
      </c>
      <c r="F2" s="139" t="str">
        <f>Application!B627&amp;Application!C627</f>
        <v>1)Citibank Tax-Exempt Permanent Loan</v>
      </c>
      <c r="G2" s="139" t="str">
        <f>Application!B628&amp;Application!C628</f>
        <v>2)Lease Up Income</v>
      </c>
      <c r="H2" s="139" t="str">
        <f>Application!B629&amp;Application!C629</f>
        <v>3)Deferred Developer Fee</v>
      </c>
      <c r="I2" s="139" t="str">
        <f>Application!B630&amp;Application!C630</f>
        <v>4)</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182</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0</v>
      </c>
      <c r="C4" s="147">
        <v>0</v>
      </c>
      <c r="D4" s="147"/>
      <c r="E4" s="147">
        <f>B4</f>
        <v>0</v>
      </c>
      <c r="F4" s="147"/>
      <c r="G4" s="147"/>
      <c r="H4" s="147"/>
      <c r="I4" s="147"/>
      <c r="J4" s="147"/>
      <c r="K4" s="147"/>
      <c r="L4" s="147"/>
      <c r="M4" s="147"/>
      <c r="N4" s="147"/>
      <c r="O4" s="147"/>
      <c r="P4" s="147"/>
      <c r="Q4" s="147"/>
      <c r="R4" s="516">
        <f>SUM(E4:Q4)</f>
        <v>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16">
        <f>SUM(E5:Q5)</f>
        <v>0</v>
      </c>
      <c r="S5" s="148"/>
      <c r="T5" s="148"/>
      <c r="U5" s="143"/>
    </row>
    <row r="6" spans="1:21" s="144" customFormat="1">
      <c r="A6" s="145" t="s">
        <v>29</v>
      </c>
      <c r="B6" s="146">
        <f>SUM(C6+D6)</f>
        <v>296251</v>
      </c>
      <c r="C6" s="147">
        <f>150000+146250+1</f>
        <v>296251</v>
      </c>
      <c r="D6" s="147"/>
      <c r="E6" s="147">
        <f>B6</f>
        <v>296251</v>
      </c>
      <c r="F6" s="147"/>
      <c r="G6" s="147"/>
      <c r="H6" s="147"/>
      <c r="I6" s="147"/>
      <c r="J6" s="147"/>
      <c r="K6" s="147"/>
      <c r="L6" s="147"/>
      <c r="M6" s="147"/>
      <c r="N6" s="147"/>
      <c r="O6" s="147"/>
      <c r="P6" s="147"/>
      <c r="Q6" s="147"/>
      <c r="R6" s="516">
        <f>SUM(E6:Q6)</f>
        <v>296251</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16">
        <f>SUM(E7:Q7)</f>
        <v>0</v>
      </c>
      <c r="S7" s="148"/>
      <c r="T7" s="148"/>
      <c r="U7" s="143"/>
    </row>
    <row r="8" spans="1:21" s="144" customFormat="1">
      <c r="A8" s="149" t="s">
        <v>593</v>
      </c>
      <c r="B8" s="146">
        <f>SUM(C8:D8)</f>
        <v>296251</v>
      </c>
      <c r="C8" s="146">
        <f t="shared" ref="C8:Q8" si="0">SUM(C4:C7)</f>
        <v>296251</v>
      </c>
      <c r="D8" s="146">
        <f t="shared" si="0"/>
        <v>0</v>
      </c>
      <c r="E8" s="146">
        <f t="shared" si="0"/>
        <v>296251</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42">
        <f>SUM(R4:R7)</f>
        <v>296251</v>
      </c>
      <c r="S8" s="148"/>
      <c r="T8" s="148"/>
      <c r="U8" s="143"/>
    </row>
    <row r="9" spans="1:21" s="144" customFormat="1">
      <c r="A9" s="145" t="s">
        <v>594</v>
      </c>
      <c r="B9" s="146">
        <f>SUM(C9+D9)</f>
        <v>0</v>
      </c>
      <c r="C9" s="147"/>
      <c r="D9" s="147"/>
      <c r="E9" s="147"/>
      <c r="F9" s="147"/>
      <c r="G9" s="147"/>
      <c r="H9" s="147"/>
      <c r="I9" s="147"/>
      <c r="J9" s="147"/>
      <c r="K9" s="147"/>
      <c r="L9" s="147"/>
      <c r="M9" s="147"/>
      <c r="N9" s="147"/>
      <c r="O9" s="147"/>
      <c r="P9" s="147"/>
      <c r="Q9" s="147"/>
      <c r="R9" s="516">
        <f>SUM(E9:Q9)</f>
        <v>0</v>
      </c>
      <c r="S9" s="148"/>
      <c r="T9" s="147"/>
      <c r="U9" s="143"/>
    </row>
    <row r="10" spans="1:21" s="144" customFormat="1">
      <c r="A10" s="145" t="s">
        <v>595</v>
      </c>
      <c r="B10" s="146">
        <f>SUM(C10+D10)</f>
        <v>0</v>
      </c>
      <c r="C10" s="147"/>
      <c r="D10" s="147"/>
      <c r="E10" s="147"/>
      <c r="F10" s="147"/>
      <c r="G10" s="147"/>
      <c r="H10" s="147"/>
      <c r="I10" s="147"/>
      <c r="J10" s="147"/>
      <c r="K10" s="147"/>
      <c r="L10" s="147"/>
      <c r="M10" s="147"/>
      <c r="N10" s="147"/>
      <c r="O10" s="147"/>
      <c r="P10" s="147"/>
      <c r="Q10" s="147"/>
      <c r="R10" s="516">
        <f>SUM(E10:Q10)</f>
        <v>0</v>
      </c>
      <c r="S10" s="147"/>
      <c r="T10" s="147"/>
      <c r="U10" s="143"/>
    </row>
    <row r="11" spans="1:21" s="144" customFormat="1">
      <c r="A11" s="149" t="s">
        <v>596</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42">
        <f>SUM(R9:R10)</f>
        <v>0</v>
      </c>
      <c r="S11" s="148"/>
      <c r="T11" s="150">
        <f>SUM(T9:T10)</f>
        <v>0</v>
      </c>
      <c r="U11" s="143"/>
    </row>
    <row r="12" spans="1:21" s="144" customFormat="1">
      <c r="A12" s="149" t="s">
        <v>84</v>
      </c>
      <c r="B12" s="146">
        <f t="shared" ref="B12:Q12" si="2">SUM(B8+B11)</f>
        <v>296251</v>
      </c>
      <c r="C12" s="146">
        <f t="shared" si="2"/>
        <v>296251</v>
      </c>
      <c r="D12" s="146">
        <f t="shared" si="2"/>
        <v>0</v>
      </c>
      <c r="E12" s="146">
        <f t="shared" si="2"/>
        <v>296251</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42">
        <f>SUM(R8+R11)</f>
        <v>296251</v>
      </c>
      <c r="S12" s="148"/>
      <c r="T12" s="148"/>
      <c r="U12" s="143"/>
    </row>
    <row r="13" spans="1:21" s="144" customFormat="1">
      <c r="A13" s="287" t="s">
        <v>902</v>
      </c>
      <c r="B13" s="146">
        <f>SUM(C13+D13)</f>
        <v>0</v>
      </c>
      <c r="C13" s="147"/>
      <c r="D13" s="147"/>
      <c r="E13" s="147"/>
      <c r="F13" s="147"/>
      <c r="G13" s="147"/>
      <c r="H13" s="147"/>
      <c r="I13" s="147"/>
      <c r="J13" s="147"/>
      <c r="K13" s="147"/>
      <c r="L13" s="147"/>
      <c r="M13" s="147"/>
      <c r="N13" s="147"/>
      <c r="O13" s="147"/>
      <c r="P13" s="147"/>
      <c r="Q13" s="147"/>
      <c r="R13" s="516">
        <f>SUM(E13:Q13)</f>
        <v>0</v>
      </c>
      <c r="S13" s="147"/>
      <c r="T13" s="147"/>
      <c r="U13" s="143"/>
    </row>
    <row r="14" spans="1:21" s="144" customFormat="1" ht="24">
      <c r="A14" s="288" t="s">
        <v>1642</v>
      </c>
      <c r="B14" s="146">
        <f>SUM(C14+D14)</f>
        <v>0</v>
      </c>
      <c r="C14" s="147"/>
      <c r="D14" s="147"/>
      <c r="E14" s="147"/>
      <c r="F14" s="147"/>
      <c r="G14" s="147"/>
      <c r="H14" s="147"/>
      <c r="I14" s="147"/>
      <c r="J14" s="147"/>
      <c r="K14" s="147"/>
      <c r="L14" s="147"/>
      <c r="M14" s="147"/>
      <c r="N14" s="147"/>
      <c r="O14" s="147"/>
      <c r="P14" s="147"/>
      <c r="Q14" s="147"/>
      <c r="R14" s="516">
        <f>SUM(E14:Q14)</f>
        <v>0</v>
      </c>
      <c r="S14" s="147"/>
      <c r="T14" s="147"/>
      <c r="U14" s="143"/>
    </row>
    <row r="15" spans="1:21" s="144" customFormat="1">
      <c r="A15" s="288" t="s">
        <v>1160</v>
      </c>
      <c r="B15" s="146">
        <f>SUM(C15+D15)</f>
        <v>0</v>
      </c>
      <c r="C15" s="147"/>
      <c r="D15" s="147"/>
      <c r="E15" s="147"/>
      <c r="F15" s="147"/>
      <c r="G15" s="147"/>
      <c r="H15" s="147"/>
      <c r="I15" s="147"/>
      <c r="J15" s="147"/>
      <c r="K15" s="147"/>
      <c r="L15" s="147"/>
      <c r="M15" s="147"/>
      <c r="N15" s="147"/>
      <c r="O15" s="147"/>
      <c r="P15" s="147"/>
      <c r="Q15" s="147"/>
      <c r="R15" s="516">
        <f>SUM(E15:Q15)</f>
        <v>0</v>
      </c>
      <c r="S15" s="148"/>
      <c r="T15" s="148"/>
      <c r="U15" s="143"/>
    </row>
    <row r="16" spans="1:21" s="144" customFormat="1">
      <c r="A16" s="141" t="s">
        <v>597</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598</v>
      </c>
      <c r="B17" s="146">
        <f t="shared" ref="B17:B26" si="3">SUM(C17+D17)</f>
        <v>0</v>
      </c>
      <c r="C17" s="147"/>
      <c r="D17" s="147"/>
      <c r="E17" s="147"/>
      <c r="F17" s="147"/>
      <c r="G17" s="147"/>
      <c r="H17" s="147"/>
      <c r="I17" s="147"/>
      <c r="J17" s="147"/>
      <c r="K17" s="147"/>
      <c r="L17" s="147"/>
      <c r="M17" s="147"/>
      <c r="N17" s="147"/>
      <c r="O17" s="147"/>
      <c r="P17" s="147"/>
      <c r="Q17" s="147"/>
      <c r="R17" s="516">
        <f>SUM(E17:Q17)</f>
        <v>0</v>
      </c>
      <c r="S17" s="147"/>
      <c r="T17" s="147"/>
      <c r="U17" s="143"/>
    </row>
    <row r="18" spans="1:21" s="144" customFormat="1">
      <c r="A18" s="145" t="s">
        <v>599</v>
      </c>
      <c r="B18" s="146">
        <f t="shared" si="3"/>
        <v>0</v>
      </c>
      <c r="C18" s="147"/>
      <c r="D18" s="147"/>
      <c r="E18" s="147"/>
      <c r="F18" s="147"/>
      <c r="G18" s="147"/>
      <c r="H18" s="147"/>
      <c r="I18" s="147"/>
      <c r="J18" s="147"/>
      <c r="K18" s="147"/>
      <c r="L18" s="147"/>
      <c r="M18" s="147"/>
      <c r="N18" s="147"/>
      <c r="O18" s="147"/>
      <c r="P18" s="147"/>
      <c r="Q18" s="147"/>
      <c r="R18" s="516">
        <f>SUM(E18:Q18)</f>
        <v>0</v>
      </c>
      <c r="S18" s="147"/>
      <c r="T18" s="147"/>
      <c r="U18" s="143"/>
    </row>
    <row r="19" spans="1:21" s="144" customFormat="1">
      <c r="A19" s="145" t="s">
        <v>600</v>
      </c>
      <c r="B19" s="146">
        <f t="shared" si="3"/>
        <v>0</v>
      </c>
      <c r="C19" s="147"/>
      <c r="D19" s="147"/>
      <c r="E19" s="147"/>
      <c r="F19" s="147"/>
      <c r="G19" s="147"/>
      <c r="H19" s="147"/>
      <c r="I19" s="147"/>
      <c r="J19" s="147"/>
      <c r="K19" s="147"/>
      <c r="L19" s="147"/>
      <c r="M19" s="147"/>
      <c r="N19" s="147"/>
      <c r="O19" s="147"/>
      <c r="P19" s="147"/>
      <c r="Q19" s="147"/>
      <c r="R19" s="516">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16">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16">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16">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16">
        <f t="shared" si="4"/>
        <v>0</v>
      </c>
      <c r="S23" s="147"/>
      <c r="T23" s="147"/>
      <c r="U23" s="143"/>
    </row>
    <row r="24" spans="1:21" s="144" customFormat="1">
      <c r="A24" s="508" t="s">
        <v>1639</v>
      </c>
      <c r="B24" s="146">
        <f t="shared" si="3"/>
        <v>0</v>
      </c>
      <c r="C24" s="147"/>
      <c r="D24" s="147"/>
      <c r="E24" s="147"/>
      <c r="F24" s="147"/>
      <c r="G24" s="147"/>
      <c r="H24" s="147"/>
      <c r="I24" s="147"/>
      <c r="J24" s="147"/>
      <c r="K24" s="147"/>
      <c r="L24" s="147"/>
      <c r="M24" s="147"/>
      <c r="N24" s="147"/>
      <c r="O24" s="147"/>
      <c r="P24" s="147"/>
      <c r="Q24" s="147"/>
      <c r="R24" s="516">
        <f t="shared" si="4"/>
        <v>0</v>
      </c>
      <c r="S24" s="147"/>
      <c r="T24" s="147"/>
      <c r="U24" s="143"/>
    </row>
    <row r="25" spans="1:21" s="144" customFormat="1">
      <c r="A25" s="1149" t="s">
        <v>34</v>
      </c>
      <c r="B25" s="146">
        <f t="shared" si="3"/>
        <v>0</v>
      </c>
      <c r="C25" s="147"/>
      <c r="D25" s="147"/>
      <c r="E25" s="147"/>
      <c r="F25" s="147"/>
      <c r="G25" s="147"/>
      <c r="H25" s="147"/>
      <c r="I25" s="147"/>
      <c r="J25" s="147"/>
      <c r="K25" s="147"/>
      <c r="L25" s="147"/>
      <c r="M25" s="147"/>
      <c r="N25" s="147"/>
      <c r="O25" s="147"/>
      <c r="P25" s="147"/>
      <c r="Q25" s="147"/>
      <c r="R25" s="516">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42">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16">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598</v>
      </c>
      <c r="B29" s="146">
        <f t="shared" ref="B29:B38" si="6">SUM(C29+D29)</f>
        <v>1221882</v>
      </c>
      <c r="C29" s="147">
        <v>1221882</v>
      </c>
      <c r="D29" s="147"/>
      <c r="E29" s="147">
        <f>B29</f>
        <v>1221882</v>
      </c>
      <c r="F29" s="147"/>
      <c r="G29" s="147"/>
      <c r="H29" s="147"/>
      <c r="I29" s="147"/>
      <c r="J29" s="147"/>
      <c r="K29" s="147"/>
      <c r="L29" s="147"/>
      <c r="M29" s="147"/>
      <c r="N29" s="147"/>
      <c r="O29" s="147"/>
      <c r="P29" s="147"/>
      <c r="Q29" s="147"/>
      <c r="R29" s="516">
        <f t="shared" ref="R29:R37" si="7">SUM(E29:Q29)</f>
        <v>1221882</v>
      </c>
      <c r="S29" s="147">
        <f>R29-8920</f>
        <v>1212962</v>
      </c>
      <c r="T29" s="147"/>
      <c r="U29" s="143"/>
    </row>
    <row r="30" spans="1:21" s="144" customFormat="1">
      <c r="A30" s="145" t="s">
        <v>599</v>
      </c>
      <c r="B30" s="146">
        <f t="shared" si="6"/>
        <v>47653416</v>
      </c>
      <c r="C30" s="147">
        <v>47653416</v>
      </c>
      <c r="D30" s="147"/>
      <c r="E30" s="147">
        <f>B30-SUM(F30:I30)</f>
        <v>3047484</v>
      </c>
      <c r="F30" s="147">
        <f>Application!AO627</f>
        <v>43682565</v>
      </c>
      <c r="G30" s="147">
        <f>Application!AO628</f>
        <v>923367</v>
      </c>
      <c r="H30" s="147"/>
      <c r="I30" s="147"/>
      <c r="J30" s="147"/>
      <c r="K30" s="147"/>
      <c r="L30" s="147"/>
      <c r="M30" s="147"/>
      <c r="N30" s="147"/>
      <c r="O30" s="147"/>
      <c r="P30" s="147"/>
      <c r="Q30" s="147"/>
      <c r="R30" s="516">
        <f t="shared" si="7"/>
        <v>47653416</v>
      </c>
      <c r="S30" s="147">
        <f>R30-350000</f>
        <v>47303416</v>
      </c>
      <c r="T30" s="147"/>
      <c r="U30" s="143"/>
    </row>
    <row r="31" spans="1:21" s="144" customFormat="1">
      <c r="A31" s="145" t="s">
        <v>600</v>
      </c>
      <c r="B31" s="146">
        <f t="shared" si="6"/>
        <v>1221882</v>
      </c>
      <c r="C31" s="147">
        <v>1221882</v>
      </c>
      <c r="D31" s="147"/>
      <c r="E31" s="147">
        <f>B31</f>
        <v>1221882</v>
      </c>
      <c r="F31" s="147"/>
      <c r="G31" s="147"/>
      <c r="H31" s="147"/>
      <c r="I31" s="147"/>
      <c r="J31" s="147"/>
      <c r="K31" s="147"/>
      <c r="L31" s="147"/>
      <c r="M31" s="147"/>
      <c r="N31" s="147"/>
      <c r="O31" s="147"/>
      <c r="P31" s="147"/>
      <c r="Q31" s="147"/>
      <c r="R31" s="516">
        <f t="shared" si="7"/>
        <v>1221882</v>
      </c>
      <c r="S31" s="147">
        <f>R31-8920</f>
        <v>1212962</v>
      </c>
      <c r="T31" s="147"/>
      <c r="U31" s="143"/>
    </row>
    <row r="32" spans="1:21" s="144" customFormat="1">
      <c r="A32" s="145" t="s">
        <v>137</v>
      </c>
      <c r="B32" s="146">
        <f t="shared" si="6"/>
        <v>1001944</v>
      </c>
      <c r="C32" s="147">
        <v>1001944</v>
      </c>
      <c r="D32" s="147"/>
      <c r="E32" s="147">
        <f>B32</f>
        <v>1001944</v>
      </c>
      <c r="F32" s="147"/>
      <c r="G32" s="147"/>
      <c r="H32" s="147"/>
      <c r="I32" s="147"/>
      <c r="J32" s="147"/>
      <c r="K32" s="147"/>
      <c r="L32" s="147"/>
      <c r="M32" s="147"/>
      <c r="N32" s="147"/>
      <c r="O32" s="147"/>
      <c r="P32" s="147"/>
      <c r="Q32" s="147"/>
      <c r="R32" s="516">
        <f t="shared" si="7"/>
        <v>1001944</v>
      </c>
      <c r="S32" s="147">
        <f>R32-7314</f>
        <v>994630</v>
      </c>
      <c r="T32" s="147"/>
      <c r="U32" s="143"/>
    </row>
    <row r="33" spans="1:21" s="144" customFormat="1">
      <c r="A33" s="145" t="s">
        <v>138</v>
      </c>
      <c r="B33" s="146">
        <f t="shared" si="6"/>
        <v>1277478</v>
      </c>
      <c r="C33" s="147">
        <v>1277478</v>
      </c>
      <c r="D33" s="147"/>
      <c r="E33" s="147">
        <f>B33</f>
        <v>1277478</v>
      </c>
      <c r="F33" s="147"/>
      <c r="G33" s="147"/>
      <c r="H33" s="147"/>
      <c r="I33" s="147"/>
      <c r="J33" s="147"/>
      <c r="K33" s="147"/>
      <c r="L33" s="147"/>
      <c r="M33" s="147"/>
      <c r="N33" s="147"/>
      <c r="O33" s="147"/>
      <c r="P33" s="147"/>
      <c r="Q33" s="147"/>
      <c r="R33" s="516">
        <f t="shared" si="7"/>
        <v>1277478</v>
      </c>
      <c r="S33" s="147">
        <f>R33-9326</f>
        <v>1268152</v>
      </c>
      <c r="T33" s="147"/>
      <c r="U33" s="143"/>
    </row>
    <row r="34" spans="1:21" s="144" customFormat="1">
      <c r="A34" s="145" t="s">
        <v>139</v>
      </c>
      <c r="B34" s="146">
        <f t="shared" si="6"/>
        <v>0</v>
      </c>
      <c r="C34" s="147">
        <v>0</v>
      </c>
      <c r="D34" s="147"/>
      <c r="E34" s="147"/>
      <c r="F34" s="147"/>
      <c r="G34" s="147"/>
      <c r="H34" s="147"/>
      <c r="I34" s="147"/>
      <c r="J34" s="147"/>
      <c r="K34" s="147"/>
      <c r="L34" s="147"/>
      <c r="M34" s="147"/>
      <c r="N34" s="147"/>
      <c r="O34" s="147"/>
      <c r="P34" s="147"/>
      <c r="Q34" s="147"/>
      <c r="R34" s="516">
        <f t="shared" si="7"/>
        <v>0</v>
      </c>
      <c r="S34" s="147">
        <f t="shared" ref="S34:S37" si="8">R34</f>
        <v>0</v>
      </c>
      <c r="T34" s="147"/>
      <c r="U34" s="143"/>
    </row>
    <row r="35" spans="1:21" s="144" customFormat="1">
      <c r="A35" s="145" t="s">
        <v>140</v>
      </c>
      <c r="B35" s="146">
        <f t="shared" si="6"/>
        <v>1001944</v>
      </c>
      <c r="C35" s="147">
        <v>1001944</v>
      </c>
      <c r="D35" s="147"/>
      <c r="E35" s="147">
        <f>B35-H35</f>
        <v>1001944</v>
      </c>
      <c r="F35" s="147"/>
      <c r="G35" s="147"/>
      <c r="H35" s="147"/>
      <c r="I35" s="147"/>
      <c r="J35" s="147"/>
      <c r="K35" s="147"/>
      <c r="L35" s="147"/>
      <c r="M35" s="147"/>
      <c r="N35" s="147"/>
      <c r="O35" s="147"/>
      <c r="P35" s="147"/>
      <c r="Q35" s="147"/>
      <c r="R35" s="516">
        <f t="shared" si="7"/>
        <v>1001944</v>
      </c>
      <c r="S35" s="147">
        <f>R35-7314</f>
        <v>994630</v>
      </c>
      <c r="T35" s="147"/>
      <c r="U35" s="143"/>
    </row>
    <row r="36" spans="1:21" s="144" customFormat="1">
      <c r="A36" s="283" t="s">
        <v>1639</v>
      </c>
      <c r="B36" s="146">
        <f t="shared" si="6"/>
        <v>0</v>
      </c>
      <c r="C36" s="147">
        <v>0</v>
      </c>
      <c r="D36" s="147"/>
      <c r="E36" s="147"/>
      <c r="F36" s="147"/>
      <c r="G36" s="147"/>
      <c r="H36" s="147"/>
      <c r="I36" s="147"/>
      <c r="J36" s="147"/>
      <c r="K36" s="147"/>
      <c r="L36" s="147"/>
      <c r="M36" s="147"/>
      <c r="N36" s="147"/>
      <c r="O36" s="147"/>
      <c r="P36" s="147"/>
      <c r="Q36" s="147"/>
      <c r="R36" s="516">
        <f t="shared" si="7"/>
        <v>0</v>
      </c>
      <c r="S36" s="147">
        <f t="shared" si="8"/>
        <v>0</v>
      </c>
      <c r="T36" s="147"/>
      <c r="U36" s="143"/>
    </row>
    <row r="37" spans="1:21" s="144" customFormat="1">
      <c r="A37" s="1149" t="s">
        <v>34</v>
      </c>
      <c r="B37" s="146">
        <f t="shared" si="6"/>
        <v>0</v>
      </c>
      <c r="C37" s="147">
        <v>0</v>
      </c>
      <c r="D37" s="147"/>
      <c r="E37" s="147"/>
      <c r="F37" s="147"/>
      <c r="G37" s="147"/>
      <c r="H37" s="147"/>
      <c r="I37" s="147"/>
      <c r="J37" s="147"/>
      <c r="K37" s="147"/>
      <c r="L37" s="147"/>
      <c r="M37" s="147"/>
      <c r="N37" s="147"/>
      <c r="O37" s="147"/>
      <c r="P37" s="147"/>
      <c r="Q37" s="147"/>
      <c r="R37" s="516">
        <f t="shared" si="7"/>
        <v>0</v>
      </c>
      <c r="S37" s="147">
        <f t="shared" si="8"/>
        <v>0</v>
      </c>
      <c r="T37" s="147"/>
      <c r="U37" s="143"/>
    </row>
    <row r="38" spans="1:21" s="144" customFormat="1">
      <c r="A38" s="149" t="s">
        <v>143</v>
      </c>
      <c r="B38" s="146">
        <f t="shared" si="6"/>
        <v>53378546</v>
      </c>
      <c r="C38" s="146">
        <f>SUM(C29:C37)</f>
        <v>53378546</v>
      </c>
      <c r="D38" s="146">
        <f t="shared" ref="D38:Q38" si="9">SUM(D29:D37)</f>
        <v>0</v>
      </c>
      <c r="E38" s="146">
        <f t="shared" si="9"/>
        <v>8772614</v>
      </c>
      <c r="F38" s="146">
        <f t="shared" si="9"/>
        <v>43682565</v>
      </c>
      <c r="G38" s="146">
        <f t="shared" si="9"/>
        <v>923367</v>
      </c>
      <c r="H38" s="146">
        <f t="shared" si="9"/>
        <v>0</v>
      </c>
      <c r="I38" s="146">
        <f t="shared" si="9"/>
        <v>0</v>
      </c>
      <c r="J38" s="146">
        <f t="shared" si="9"/>
        <v>0</v>
      </c>
      <c r="K38" s="146">
        <f t="shared" si="9"/>
        <v>0</v>
      </c>
      <c r="L38" s="146">
        <f t="shared" si="9"/>
        <v>0</v>
      </c>
      <c r="M38" s="146">
        <f t="shared" si="9"/>
        <v>0</v>
      </c>
      <c r="N38" s="146">
        <f t="shared" si="9"/>
        <v>0</v>
      </c>
      <c r="O38" s="146">
        <f t="shared" si="9"/>
        <v>0</v>
      </c>
      <c r="P38" s="146">
        <f t="shared" si="9"/>
        <v>0</v>
      </c>
      <c r="Q38" s="146">
        <f t="shared" si="9"/>
        <v>0</v>
      </c>
      <c r="R38" s="342">
        <f>SUM(R29:R37)</f>
        <v>53378546</v>
      </c>
      <c r="S38" s="150">
        <f>SUM(S29:S37)</f>
        <v>52986752</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3243701</v>
      </c>
      <c r="C40" s="147">
        <f>3243701</f>
        <v>3243701</v>
      </c>
      <c r="D40" s="147"/>
      <c r="E40" s="147">
        <f>B40</f>
        <v>3243701</v>
      </c>
      <c r="F40" s="147"/>
      <c r="G40" s="147"/>
      <c r="H40" s="147"/>
      <c r="I40" s="147"/>
      <c r="J40" s="147"/>
      <c r="K40" s="147"/>
      <c r="L40" s="147"/>
      <c r="M40" s="147"/>
      <c r="N40" s="147"/>
      <c r="O40" s="147"/>
      <c r="P40" s="147"/>
      <c r="Q40" s="147"/>
      <c r="R40" s="516">
        <f>SUM(E40:Q40)</f>
        <v>3243701</v>
      </c>
      <c r="S40" s="147">
        <f>R40</f>
        <v>3243701</v>
      </c>
      <c r="T40" s="147"/>
      <c r="U40" s="143"/>
    </row>
    <row r="41" spans="1:21" s="144" customFormat="1">
      <c r="A41" s="145" t="s">
        <v>146</v>
      </c>
      <c r="B41" s="146">
        <f>SUM(C41+D41)</f>
        <v>303550</v>
      </c>
      <c r="C41" s="147">
        <v>303550</v>
      </c>
      <c r="D41" s="147"/>
      <c r="E41" s="147">
        <f>B41</f>
        <v>303550</v>
      </c>
      <c r="F41" s="147"/>
      <c r="G41" s="147"/>
      <c r="H41" s="147"/>
      <c r="I41" s="147"/>
      <c r="J41" s="147"/>
      <c r="K41" s="147"/>
      <c r="L41" s="147"/>
      <c r="M41" s="147"/>
      <c r="N41" s="147"/>
      <c r="O41" s="147"/>
      <c r="P41" s="147"/>
      <c r="Q41" s="147"/>
      <c r="R41" s="516">
        <f>SUM(E41:Q41)</f>
        <v>303550</v>
      </c>
      <c r="S41" s="147">
        <f>R41</f>
        <v>303550</v>
      </c>
      <c r="T41" s="147"/>
      <c r="U41" s="143"/>
    </row>
    <row r="42" spans="1:21" s="144" customFormat="1">
      <c r="A42" s="149" t="s">
        <v>147</v>
      </c>
      <c r="B42" s="146">
        <f>SUM(C42:D42)</f>
        <v>3547251</v>
      </c>
      <c r="C42" s="146">
        <f>SUM(C39:C41)</f>
        <v>3547251</v>
      </c>
      <c r="D42" s="146">
        <f>SUM(D39:D41)</f>
        <v>0</v>
      </c>
      <c r="E42" s="146">
        <f t="shared" ref="E42:T42" si="10">SUM(E40:E41)</f>
        <v>3547251</v>
      </c>
      <c r="F42" s="146">
        <f t="shared" si="10"/>
        <v>0</v>
      </c>
      <c r="G42" s="146">
        <f t="shared" si="10"/>
        <v>0</v>
      </c>
      <c r="H42" s="146">
        <f t="shared" si="10"/>
        <v>0</v>
      </c>
      <c r="I42" s="146">
        <f t="shared" si="10"/>
        <v>0</v>
      </c>
      <c r="J42" s="146">
        <f t="shared" si="10"/>
        <v>0</v>
      </c>
      <c r="K42" s="146">
        <f t="shared" si="10"/>
        <v>0</v>
      </c>
      <c r="L42" s="146">
        <f t="shared" si="10"/>
        <v>0</v>
      </c>
      <c r="M42" s="146">
        <f t="shared" si="10"/>
        <v>0</v>
      </c>
      <c r="N42" s="146">
        <f t="shared" si="10"/>
        <v>0</v>
      </c>
      <c r="O42" s="146">
        <f t="shared" si="10"/>
        <v>0</v>
      </c>
      <c r="P42" s="146">
        <f t="shared" si="10"/>
        <v>0</v>
      </c>
      <c r="Q42" s="146">
        <f t="shared" si="10"/>
        <v>0</v>
      </c>
      <c r="R42" s="342">
        <f>SUM(R40:R41)</f>
        <v>3547251</v>
      </c>
      <c r="S42" s="150">
        <f t="shared" si="10"/>
        <v>3547251</v>
      </c>
      <c r="T42" s="150">
        <f t="shared" si="10"/>
        <v>0</v>
      </c>
      <c r="U42" s="143"/>
    </row>
    <row r="43" spans="1:21" s="144" customFormat="1">
      <c r="A43" s="149" t="s">
        <v>148</v>
      </c>
      <c r="B43" s="146">
        <f>SUM(C43:D43)</f>
        <v>0</v>
      </c>
      <c r="C43" s="147"/>
      <c r="D43" s="147"/>
      <c r="E43" s="147">
        <f>B43</f>
        <v>0</v>
      </c>
      <c r="F43" s="147"/>
      <c r="G43" s="147"/>
      <c r="H43" s="147"/>
      <c r="I43" s="147"/>
      <c r="J43" s="147"/>
      <c r="K43" s="147"/>
      <c r="L43" s="147"/>
      <c r="M43" s="147"/>
      <c r="N43" s="147"/>
      <c r="O43" s="147"/>
      <c r="P43" s="147"/>
      <c r="Q43" s="147"/>
      <c r="R43" s="516">
        <f>SUM(E43:Q43)</f>
        <v>0</v>
      </c>
      <c r="S43" s="147">
        <v>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1">SUM(C45+D45)</f>
        <v>6626210</v>
      </c>
      <c r="C45" s="147">
        <v>6626210</v>
      </c>
      <c r="D45" s="147"/>
      <c r="E45" s="147">
        <f t="shared" ref="E45:E50" si="12">B45</f>
        <v>6626210</v>
      </c>
      <c r="F45" s="147"/>
      <c r="G45" s="147"/>
      <c r="H45" s="147"/>
      <c r="I45" s="147"/>
      <c r="J45" s="147"/>
      <c r="K45" s="147"/>
      <c r="L45" s="147"/>
      <c r="M45" s="147"/>
      <c r="N45" s="147"/>
      <c r="O45" s="147"/>
      <c r="P45" s="147"/>
      <c r="Q45" s="147"/>
      <c r="R45" s="516">
        <f t="shared" ref="R45:R53" si="13">SUM(E45:Q45)</f>
        <v>6626210</v>
      </c>
      <c r="S45" s="147">
        <f>4859220</f>
        <v>4859220</v>
      </c>
      <c r="T45" s="147"/>
      <c r="U45" s="143"/>
    </row>
    <row r="46" spans="1:21" s="144" customFormat="1">
      <c r="A46" s="145" t="s">
        <v>151</v>
      </c>
      <c r="B46" s="146">
        <f t="shared" si="11"/>
        <v>450000</v>
      </c>
      <c r="C46" s="147">
        <v>450000</v>
      </c>
      <c r="D46" s="147"/>
      <c r="E46" s="147">
        <f t="shared" si="12"/>
        <v>450000</v>
      </c>
      <c r="F46" s="147"/>
      <c r="G46" s="147"/>
      <c r="H46" s="147"/>
      <c r="I46" s="147"/>
      <c r="J46" s="147"/>
      <c r="K46" s="147"/>
      <c r="L46" s="147"/>
      <c r="M46" s="147"/>
      <c r="N46" s="147"/>
      <c r="O46" s="147"/>
      <c r="P46" s="147"/>
      <c r="Q46" s="147"/>
      <c r="R46" s="516">
        <f t="shared" si="13"/>
        <v>450000</v>
      </c>
      <c r="S46" s="147">
        <f>R46-243118</f>
        <v>206882</v>
      </c>
      <c r="T46" s="147"/>
      <c r="U46" s="143"/>
    </row>
    <row r="47" spans="1:21" s="144" customFormat="1">
      <c r="A47" s="186" t="s">
        <v>152</v>
      </c>
      <c r="B47" s="146">
        <f t="shared" si="11"/>
        <v>35000</v>
      </c>
      <c r="C47" s="147">
        <f>5000+30000</f>
        <v>35000</v>
      </c>
      <c r="D47" s="147"/>
      <c r="E47" s="147">
        <f t="shared" si="12"/>
        <v>35000</v>
      </c>
      <c r="F47" s="147"/>
      <c r="G47" s="147"/>
      <c r="H47" s="147"/>
      <c r="I47" s="147"/>
      <c r="J47" s="147"/>
      <c r="K47" s="147"/>
      <c r="L47" s="147"/>
      <c r="M47" s="147"/>
      <c r="N47" s="147"/>
      <c r="O47" s="147"/>
      <c r="P47" s="147"/>
      <c r="Q47" s="147"/>
      <c r="R47" s="516">
        <f t="shared" si="13"/>
        <v>35000</v>
      </c>
      <c r="S47" s="147">
        <f>R47</f>
        <v>35000</v>
      </c>
      <c r="T47" s="147"/>
      <c r="U47" s="143"/>
    </row>
    <row r="48" spans="1:21" s="144" customFormat="1">
      <c r="A48" s="145" t="s">
        <v>153</v>
      </c>
      <c r="B48" s="146">
        <f t="shared" si="11"/>
        <v>112500</v>
      </c>
      <c r="C48" s="147">
        <v>112500</v>
      </c>
      <c r="D48" s="147"/>
      <c r="E48" s="147">
        <f t="shared" si="12"/>
        <v>112500</v>
      </c>
      <c r="F48" s="147"/>
      <c r="G48" s="147"/>
      <c r="H48" s="147"/>
      <c r="I48" s="147"/>
      <c r="J48" s="147"/>
      <c r="K48" s="147"/>
      <c r="L48" s="147"/>
      <c r="M48" s="147"/>
      <c r="N48" s="147"/>
      <c r="O48" s="147"/>
      <c r="P48" s="147"/>
      <c r="Q48" s="147"/>
      <c r="R48" s="516">
        <f t="shared" si="13"/>
        <v>112500</v>
      </c>
      <c r="S48" s="147">
        <f>R48</f>
        <v>112500</v>
      </c>
      <c r="T48" s="147"/>
      <c r="U48" s="143"/>
    </row>
    <row r="49" spans="1:21" s="144" customFormat="1">
      <c r="A49" s="145" t="s">
        <v>57</v>
      </c>
      <c r="B49" s="146">
        <f t="shared" si="11"/>
        <v>155500</v>
      </c>
      <c r="C49" s="147">
        <f>112500+25000+8000+10000</f>
        <v>155500</v>
      </c>
      <c r="D49" s="147"/>
      <c r="E49" s="147">
        <f t="shared" si="12"/>
        <v>155500</v>
      </c>
      <c r="F49" s="147"/>
      <c r="G49" s="147"/>
      <c r="H49" s="147"/>
      <c r="I49" s="147"/>
      <c r="J49" s="147"/>
      <c r="K49" s="147"/>
      <c r="L49" s="147"/>
      <c r="M49" s="147"/>
      <c r="N49" s="147"/>
      <c r="O49" s="147"/>
      <c r="P49" s="147"/>
      <c r="Q49" s="147"/>
      <c r="R49" s="516">
        <f t="shared" si="13"/>
        <v>155500</v>
      </c>
      <c r="S49" s="147">
        <f>R49-84011</f>
        <v>71489</v>
      </c>
      <c r="T49" s="147"/>
      <c r="U49" s="143"/>
    </row>
    <row r="50" spans="1:21" s="144" customFormat="1">
      <c r="A50" s="145" t="s">
        <v>156</v>
      </c>
      <c r="B50" s="146">
        <f t="shared" si="11"/>
        <v>300000</v>
      </c>
      <c r="C50" s="147">
        <v>300000</v>
      </c>
      <c r="D50" s="147"/>
      <c r="E50" s="147">
        <f t="shared" si="12"/>
        <v>300000</v>
      </c>
      <c r="F50" s="147"/>
      <c r="G50" s="147"/>
      <c r="H50" s="147"/>
      <c r="I50" s="147"/>
      <c r="J50" s="147"/>
      <c r="K50" s="147"/>
      <c r="L50" s="147"/>
      <c r="M50" s="147"/>
      <c r="N50" s="147"/>
      <c r="O50" s="147"/>
      <c r="P50" s="147"/>
      <c r="Q50" s="147"/>
      <c r="R50" s="516">
        <f t="shared" si="13"/>
        <v>300000</v>
      </c>
      <c r="S50" s="147">
        <f>R50</f>
        <v>300000</v>
      </c>
      <c r="T50" s="147"/>
      <c r="U50" s="143"/>
    </row>
    <row r="51" spans="1:21" s="144" customFormat="1">
      <c r="A51" s="283" t="s">
        <v>154</v>
      </c>
      <c r="B51" s="146">
        <f t="shared" si="11"/>
        <v>0</v>
      </c>
      <c r="C51" s="147"/>
      <c r="D51" s="147"/>
      <c r="E51" s="147"/>
      <c r="F51" s="147"/>
      <c r="G51" s="147"/>
      <c r="H51" s="147"/>
      <c r="I51" s="147"/>
      <c r="J51" s="147"/>
      <c r="K51" s="147"/>
      <c r="L51" s="147"/>
      <c r="M51" s="147"/>
      <c r="N51" s="147"/>
      <c r="O51" s="147"/>
      <c r="P51" s="147"/>
      <c r="Q51" s="147"/>
      <c r="R51" s="516">
        <f t="shared" si="13"/>
        <v>0</v>
      </c>
      <c r="S51" s="147">
        <v>0</v>
      </c>
      <c r="T51" s="147"/>
      <c r="U51" s="143"/>
    </row>
    <row r="52" spans="1:21" s="144" customFormat="1">
      <c r="A52" s="145" t="s">
        <v>155</v>
      </c>
      <c r="B52" s="146">
        <f t="shared" si="11"/>
        <v>1668971</v>
      </c>
      <c r="C52" s="147">
        <v>1668971</v>
      </c>
      <c r="D52" s="147"/>
      <c r="E52" s="147">
        <f>B52</f>
        <v>1668971</v>
      </c>
      <c r="F52" s="147"/>
      <c r="G52" s="147"/>
      <c r="H52" s="147"/>
      <c r="I52" s="147"/>
      <c r="J52" s="147"/>
      <c r="K52" s="147"/>
      <c r="L52" s="147"/>
      <c r="M52" s="147"/>
      <c r="N52" s="147"/>
      <c r="O52" s="147"/>
      <c r="P52" s="147"/>
      <c r="Q52" s="147"/>
      <c r="R52" s="516">
        <f t="shared" si="13"/>
        <v>1668971</v>
      </c>
      <c r="S52" s="147">
        <f>R52</f>
        <v>1668971</v>
      </c>
      <c r="T52" s="147"/>
      <c r="U52" s="143"/>
    </row>
    <row r="53" spans="1:21" s="144" customFormat="1">
      <c r="A53" s="1149" t="s">
        <v>2737</v>
      </c>
      <c r="B53" s="146">
        <f t="shared" si="11"/>
        <v>1000000</v>
      </c>
      <c r="C53" s="147">
        <f>500000+500000</f>
        <v>1000000</v>
      </c>
      <c r="D53" s="147"/>
      <c r="E53" s="147">
        <f>B53</f>
        <v>1000000</v>
      </c>
      <c r="F53" s="147"/>
      <c r="G53" s="147"/>
      <c r="H53" s="147"/>
      <c r="I53" s="147"/>
      <c r="J53" s="147"/>
      <c r="K53" s="147"/>
      <c r="L53" s="147"/>
      <c r="M53" s="147"/>
      <c r="N53" s="147"/>
      <c r="O53" s="147"/>
      <c r="P53" s="147"/>
      <c r="Q53" s="147"/>
      <c r="R53" s="516">
        <f t="shared" si="13"/>
        <v>1000000</v>
      </c>
      <c r="S53" s="147">
        <v>0</v>
      </c>
      <c r="T53" s="147"/>
      <c r="U53" s="143"/>
    </row>
    <row r="54" spans="1:21" s="153" customFormat="1">
      <c r="A54" s="149" t="s">
        <v>157</v>
      </c>
      <c r="B54" s="150">
        <f>SUM(C54:D54)</f>
        <v>10348181</v>
      </c>
      <c r="C54" s="150">
        <f t="shared" ref="C54:T54" si="14">SUM(C45:C53)</f>
        <v>10348181</v>
      </c>
      <c r="D54" s="150">
        <f t="shared" si="14"/>
        <v>0</v>
      </c>
      <c r="E54" s="150">
        <f t="shared" si="14"/>
        <v>10348181</v>
      </c>
      <c r="F54" s="150">
        <f t="shared" si="14"/>
        <v>0</v>
      </c>
      <c r="G54" s="150">
        <f t="shared" si="14"/>
        <v>0</v>
      </c>
      <c r="H54" s="150">
        <f t="shared" si="14"/>
        <v>0</v>
      </c>
      <c r="I54" s="150">
        <f t="shared" si="14"/>
        <v>0</v>
      </c>
      <c r="J54" s="150">
        <f t="shared" si="14"/>
        <v>0</v>
      </c>
      <c r="K54" s="150">
        <f t="shared" si="14"/>
        <v>0</v>
      </c>
      <c r="L54" s="150">
        <f t="shared" si="14"/>
        <v>0</v>
      </c>
      <c r="M54" s="150">
        <f t="shared" si="14"/>
        <v>0</v>
      </c>
      <c r="N54" s="150">
        <f t="shared" si="14"/>
        <v>0</v>
      </c>
      <c r="O54" s="150">
        <f t="shared" si="14"/>
        <v>0</v>
      </c>
      <c r="P54" s="150">
        <f t="shared" si="14"/>
        <v>0</v>
      </c>
      <c r="Q54" s="150">
        <f t="shared" si="14"/>
        <v>0</v>
      </c>
      <c r="R54" s="342">
        <f t="shared" si="14"/>
        <v>10348181</v>
      </c>
      <c r="S54" s="150">
        <f t="shared" si="14"/>
        <v>7254062</v>
      </c>
      <c r="T54" s="150">
        <f t="shared" si="14"/>
        <v>0</v>
      </c>
      <c r="U54" s="152"/>
    </row>
    <row r="55" spans="1:21" s="144" customFormat="1">
      <c r="A55" s="141" t="s">
        <v>417</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5">SUM(C56+D56)</f>
        <v>0</v>
      </c>
      <c r="C56" s="147"/>
      <c r="D56" s="147"/>
      <c r="E56" s="147"/>
      <c r="F56" s="147"/>
      <c r="G56" s="147"/>
      <c r="H56" s="147"/>
      <c r="I56" s="147"/>
      <c r="J56" s="147"/>
      <c r="K56" s="147"/>
      <c r="L56" s="147"/>
      <c r="M56" s="147"/>
      <c r="N56" s="147"/>
      <c r="O56" s="147"/>
      <c r="P56" s="147"/>
      <c r="Q56" s="147"/>
      <c r="R56" s="516">
        <f t="shared" ref="R56:R61" si="16">SUM(E56:Q56)</f>
        <v>0</v>
      </c>
      <c r="S56" s="148"/>
      <c r="T56" s="148"/>
      <c r="U56" s="143"/>
    </row>
    <row r="57" spans="1:21" s="192" customFormat="1">
      <c r="A57" s="186" t="s">
        <v>152</v>
      </c>
      <c r="B57" s="193">
        <f t="shared" si="15"/>
        <v>0</v>
      </c>
      <c r="C57" s="190"/>
      <c r="D57" s="190"/>
      <c r="E57" s="190"/>
      <c r="F57" s="190"/>
      <c r="G57" s="190"/>
      <c r="H57" s="190"/>
      <c r="I57" s="190"/>
      <c r="J57" s="190"/>
      <c r="K57" s="190"/>
      <c r="L57" s="190"/>
      <c r="M57" s="190"/>
      <c r="N57" s="190"/>
      <c r="O57" s="190"/>
      <c r="P57" s="190"/>
      <c r="Q57" s="190"/>
      <c r="R57" s="516">
        <f t="shared" si="16"/>
        <v>0</v>
      </c>
      <c r="S57" s="194"/>
      <c r="T57" s="194"/>
      <c r="U57" s="191"/>
    </row>
    <row r="58" spans="1:21" s="144" customFormat="1">
      <c r="A58" s="145" t="s">
        <v>156</v>
      </c>
      <c r="B58" s="146">
        <f t="shared" si="15"/>
        <v>0</v>
      </c>
      <c r="C58" s="147"/>
      <c r="D58" s="147"/>
      <c r="E58" s="147"/>
      <c r="F58" s="147"/>
      <c r="G58" s="147"/>
      <c r="H58" s="147"/>
      <c r="I58" s="147"/>
      <c r="J58" s="147"/>
      <c r="K58" s="147"/>
      <c r="L58" s="147"/>
      <c r="M58" s="147"/>
      <c r="N58" s="147"/>
      <c r="O58" s="147"/>
      <c r="P58" s="147"/>
      <c r="Q58" s="147"/>
      <c r="R58" s="516">
        <f t="shared" si="16"/>
        <v>0</v>
      </c>
      <c r="S58" s="148"/>
      <c r="T58" s="148"/>
      <c r="U58" s="143"/>
    </row>
    <row r="59" spans="1:21" s="144" customFormat="1">
      <c r="A59" s="283" t="s">
        <v>154</v>
      </c>
      <c r="B59" s="146">
        <f t="shared" si="15"/>
        <v>0</v>
      </c>
      <c r="C59" s="147"/>
      <c r="D59" s="147"/>
      <c r="E59" s="147"/>
      <c r="F59" s="147"/>
      <c r="G59" s="147"/>
      <c r="H59" s="147"/>
      <c r="I59" s="147"/>
      <c r="J59" s="147"/>
      <c r="K59" s="147"/>
      <c r="L59" s="147"/>
      <c r="M59" s="147"/>
      <c r="N59" s="147"/>
      <c r="O59" s="147"/>
      <c r="P59" s="147"/>
      <c r="Q59" s="147"/>
      <c r="R59" s="516">
        <f t="shared" si="16"/>
        <v>0</v>
      </c>
      <c r="S59" s="148"/>
      <c r="T59" s="148"/>
      <c r="U59" s="143"/>
    </row>
    <row r="60" spans="1:21" s="144" customFormat="1">
      <c r="A60" s="145" t="s">
        <v>155</v>
      </c>
      <c r="B60" s="146">
        <f t="shared" si="15"/>
        <v>0</v>
      </c>
      <c r="C60" s="147"/>
      <c r="D60" s="147"/>
      <c r="E60" s="147"/>
      <c r="F60" s="147"/>
      <c r="G60" s="147"/>
      <c r="H60" s="147"/>
      <c r="I60" s="147"/>
      <c r="J60" s="147"/>
      <c r="K60" s="147"/>
      <c r="L60" s="147"/>
      <c r="M60" s="147"/>
      <c r="N60" s="147"/>
      <c r="O60" s="147"/>
      <c r="P60" s="147"/>
      <c r="Q60" s="147"/>
      <c r="R60" s="516">
        <f t="shared" si="16"/>
        <v>0</v>
      </c>
      <c r="S60" s="148"/>
      <c r="T60" s="148"/>
      <c r="U60" s="143"/>
    </row>
    <row r="61" spans="1:21" s="144" customFormat="1">
      <c r="A61" s="1149" t="s">
        <v>2738</v>
      </c>
      <c r="B61" s="146">
        <f t="shared" si="15"/>
        <v>100000</v>
      </c>
      <c r="C61" s="147">
        <f>100000</f>
        <v>100000</v>
      </c>
      <c r="D61" s="147"/>
      <c r="E61" s="147">
        <f>B61</f>
        <v>100000</v>
      </c>
      <c r="F61" s="147"/>
      <c r="G61" s="147"/>
      <c r="H61" s="147"/>
      <c r="I61" s="147"/>
      <c r="J61" s="147"/>
      <c r="K61" s="147"/>
      <c r="L61" s="147"/>
      <c r="M61" s="147"/>
      <c r="N61" s="147"/>
      <c r="O61" s="147"/>
      <c r="P61" s="147"/>
      <c r="Q61" s="147"/>
      <c r="R61" s="516">
        <f t="shared" si="16"/>
        <v>100000</v>
      </c>
      <c r="S61" s="148"/>
      <c r="T61" s="148"/>
      <c r="U61" s="143"/>
    </row>
    <row r="62" spans="1:21" s="144" customFormat="1" ht="13.7" customHeight="1">
      <c r="A62" s="149" t="s">
        <v>300</v>
      </c>
      <c r="B62" s="146">
        <f>SUM(C62:D62)</f>
        <v>100000</v>
      </c>
      <c r="C62" s="146">
        <f t="shared" ref="C62:R62" si="17">SUM(C56:C61)</f>
        <v>100000</v>
      </c>
      <c r="D62" s="146">
        <f t="shared" si="17"/>
        <v>0</v>
      </c>
      <c r="E62" s="146">
        <f t="shared" si="17"/>
        <v>100000</v>
      </c>
      <c r="F62" s="146">
        <f t="shared" si="17"/>
        <v>0</v>
      </c>
      <c r="G62" s="146">
        <f t="shared" si="17"/>
        <v>0</v>
      </c>
      <c r="H62" s="146">
        <f t="shared" si="17"/>
        <v>0</v>
      </c>
      <c r="I62" s="146">
        <f t="shared" si="17"/>
        <v>0</v>
      </c>
      <c r="J62" s="146">
        <f t="shared" si="17"/>
        <v>0</v>
      </c>
      <c r="K62" s="146">
        <f t="shared" si="17"/>
        <v>0</v>
      </c>
      <c r="L62" s="146">
        <f t="shared" si="17"/>
        <v>0</v>
      </c>
      <c r="M62" s="146">
        <f t="shared" si="17"/>
        <v>0</v>
      </c>
      <c r="N62" s="146">
        <f t="shared" si="17"/>
        <v>0</v>
      </c>
      <c r="O62" s="146">
        <f t="shared" si="17"/>
        <v>0</v>
      </c>
      <c r="P62" s="146">
        <f t="shared" si="17"/>
        <v>0</v>
      </c>
      <c r="Q62" s="146">
        <f t="shared" si="17"/>
        <v>0</v>
      </c>
      <c r="R62" s="342">
        <f t="shared" si="17"/>
        <v>100000</v>
      </c>
      <c r="S62" s="148"/>
      <c r="T62" s="148"/>
      <c r="U62" s="143"/>
    </row>
    <row r="63" spans="1:21" s="144" customFormat="1">
      <c r="A63" s="154" t="s">
        <v>301</v>
      </c>
      <c r="B63" s="146">
        <f t="shared" ref="B63:R63" si="18">SUM(B8+B11+B13+B14+B15+B26+B27+B38+B42+B43+B54+B62)</f>
        <v>67670229</v>
      </c>
      <c r="C63" s="146">
        <f t="shared" si="18"/>
        <v>67670229</v>
      </c>
      <c r="D63" s="146">
        <f t="shared" si="18"/>
        <v>0</v>
      </c>
      <c r="E63" s="146">
        <f t="shared" si="18"/>
        <v>23064297</v>
      </c>
      <c r="F63" s="146">
        <f t="shared" si="18"/>
        <v>43682565</v>
      </c>
      <c r="G63" s="146">
        <f t="shared" si="18"/>
        <v>923367</v>
      </c>
      <c r="H63" s="146">
        <f t="shared" si="18"/>
        <v>0</v>
      </c>
      <c r="I63" s="146">
        <f t="shared" si="18"/>
        <v>0</v>
      </c>
      <c r="J63" s="146">
        <f t="shared" si="18"/>
        <v>0</v>
      </c>
      <c r="K63" s="146">
        <f t="shared" si="18"/>
        <v>0</v>
      </c>
      <c r="L63" s="146">
        <f t="shared" si="18"/>
        <v>0</v>
      </c>
      <c r="M63" s="146">
        <f t="shared" si="18"/>
        <v>0</v>
      </c>
      <c r="N63" s="146">
        <f t="shared" si="18"/>
        <v>0</v>
      </c>
      <c r="O63" s="146">
        <f t="shared" si="18"/>
        <v>0</v>
      </c>
      <c r="P63" s="146">
        <f t="shared" si="18"/>
        <v>0</v>
      </c>
      <c r="Q63" s="146">
        <f t="shared" si="18"/>
        <v>0</v>
      </c>
      <c r="R63" s="342">
        <f t="shared" si="18"/>
        <v>67670229</v>
      </c>
      <c r="S63" s="146">
        <f>SUM(S10+S13+S14+S15+S26+S27+S38+S42+S43+S54)</f>
        <v>63788065</v>
      </c>
      <c r="T63" s="146">
        <f>SUM(T11+T13+T14+T15+T26+T27+T38+T42+T43+T54)</f>
        <v>0</v>
      </c>
      <c r="U63" s="143"/>
    </row>
    <row r="64" spans="1:21" s="144" customFormat="1" ht="24">
      <c r="A64" s="141" t="s">
        <v>1643</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170</v>
      </c>
      <c r="B65" s="146">
        <f>SUM(C65+D65)</f>
        <v>65000</v>
      </c>
      <c r="C65" s="147">
        <v>65000</v>
      </c>
      <c r="D65" s="147"/>
      <c r="E65" s="147">
        <f>B65</f>
        <v>65000</v>
      </c>
      <c r="F65" s="147"/>
      <c r="G65" s="147"/>
      <c r="H65" s="147"/>
      <c r="I65" s="147"/>
      <c r="J65" s="147"/>
      <c r="K65" s="147"/>
      <c r="L65" s="147"/>
      <c r="M65" s="147"/>
      <c r="N65" s="147"/>
      <c r="O65" s="147"/>
      <c r="P65" s="147"/>
      <c r="Q65" s="147"/>
      <c r="R65" s="516">
        <f>SUM(E65:Q65)</f>
        <v>65000</v>
      </c>
      <c r="S65" s="147">
        <f>R65</f>
        <v>65000</v>
      </c>
      <c r="T65" s="147"/>
      <c r="U65" s="143"/>
    </row>
    <row r="66" spans="1:21" s="144" customFormat="1" ht="24" customHeight="1">
      <c r="A66" s="283" t="s">
        <v>1640</v>
      </c>
      <c r="B66" s="146">
        <f>SUM(C66+D66)</f>
        <v>0</v>
      </c>
      <c r="C66" s="147"/>
      <c r="D66" s="147"/>
      <c r="E66" s="147"/>
      <c r="F66" s="147"/>
      <c r="G66" s="147"/>
      <c r="H66" s="147"/>
      <c r="I66" s="147"/>
      <c r="J66" s="147"/>
      <c r="K66" s="147"/>
      <c r="L66" s="147"/>
      <c r="M66" s="147"/>
      <c r="N66" s="147"/>
      <c r="O66" s="147"/>
      <c r="P66" s="147"/>
      <c r="Q66" s="147"/>
      <c r="R66" s="516">
        <f>SUM(E66:Q66)</f>
        <v>0</v>
      </c>
      <c r="S66" s="147">
        <v>0</v>
      </c>
      <c r="T66" s="147"/>
      <c r="U66" s="143"/>
    </row>
    <row r="67" spans="1:21" s="144" customFormat="1" ht="24" customHeight="1">
      <c r="A67" s="283" t="s">
        <v>1641</v>
      </c>
      <c r="B67" s="146">
        <f>SUM(C67+D67)</f>
        <v>400000</v>
      </c>
      <c r="C67" s="147">
        <v>400000</v>
      </c>
      <c r="D67" s="147"/>
      <c r="E67" s="147">
        <f>B67</f>
        <v>400000</v>
      </c>
      <c r="F67" s="147"/>
      <c r="G67" s="147"/>
      <c r="H67" s="147"/>
      <c r="I67" s="147"/>
      <c r="J67" s="147"/>
      <c r="K67" s="147"/>
      <c r="L67" s="147"/>
      <c r="M67" s="147"/>
      <c r="N67" s="147"/>
      <c r="O67" s="147"/>
      <c r="P67" s="147"/>
      <c r="Q67" s="147"/>
      <c r="R67" s="516">
        <f>SUM(E67:Q67)</f>
        <v>400000</v>
      </c>
      <c r="S67" s="147">
        <f>R67</f>
        <v>400000</v>
      </c>
      <c r="T67" s="147"/>
      <c r="U67" s="143"/>
    </row>
    <row r="68" spans="1:21" s="144" customFormat="1" ht="12" customHeight="1">
      <c r="A68" s="283" t="s">
        <v>1647</v>
      </c>
      <c r="B68" s="146">
        <f>SUM(C68+D68)</f>
        <v>0</v>
      </c>
      <c r="C68" s="147"/>
      <c r="D68" s="147"/>
      <c r="E68" s="147"/>
      <c r="F68" s="147"/>
      <c r="G68" s="147"/>
      <c r="H68" s="147"/>
      <c r="I68" s="147"/>
      <c r="J68" s="147"/>
      <c r="K68" s="147"/>
      <c r="L68" s="147"/>
      <c r="M68" s="147"/>
      <c r="N68" s="147"/>
      <c r="O68" s="147"/>
      <c r="P68" s="147"/>
      <c r="Q68" s="147"/>
      <c r="R68" s="516">
        <f>SUM(E68:Q68)</f>
        <v>0</v>
      </c>
      <c r="S68" s="147">
        <v>0</v>
      </c>
      <c r="T68" s="147"/>
      <c r="U68" s="143"/>
    </row>
    <row r="69" spans="1:21" s="144" customFormat="1">
      <c r="A69" s="1149" t="s">
        <v>2736</v>
      </c>
      <c r="B69" s="146">
        <f>SUM(C69+D69)</f>
        <v>50000</v>
      </c>
      <c r="C69" s="147">
        <v>50000</v>
      </c>
      <c r="D69" s="147"/>
      <c r="E69" s="147">
        <f>B69</f>
        <v>50000</v>
      </c>
      <c r="F69" s="147"/>
      <c r="G69" s="147"/>
      <c r="H69" s="147"/>
      <c r="I69" s="147"/>
      <c r="J69" s="147"/>
      <c r="K69" s="147"/>
      <c r="L69" s="147"/>
      <c r="M69" s="147"/>
      <c r="N69" s="147"/>
      <c r="O69" s="147"/>
      <c r="P69" s="147"/>
      <c r="Q69" s="147"/>
      <c r="R69" s="516">
        <f>SUM(E69:Q69)</f>
        <v>50000</v>
      </c>
      <c r="S69" s="147">
        <v>0</v>
      </c>
      <c r="T69" s="147"/>
      <c r="U69" s="143"/>
    </row>
    <row r="70" spans="1:21" s="144" customFormat="1">
      <c r="A70" s="149" t="s">
        <v>1644</v>
      </c>
      <c r="B70" s="146">
        <f>SUM(C70:D70)</f>
        <v>515000</v>
      </c>
      <c r="C70" s="146">
        <f>SUM(C65:C69)</f>
        <v>515000</v>
      </c>
      <c r="D70" s="146">
        <f>SUM(D65:D69)</f>
        <v>0</v>
      </c>
      <c r="E70" s="146">
        <f t="shared" ref="E70:T70" si="19">SUM(E65:E69)</f>
        <v>515000</v>
      </c>
      <c r="F70" s="146">
        <f t="shared" si="19"/>
        <v>0</v>
      </c>
      <c r="G70" s="146">
        <f t="shared" si="19"/>
        <v>0</v>
      </c>
      <c r="H70" s="146">
        <f t="shared" si="19"/>
        <v>0</v>
      </c>
      <c r="I70" s="146">
        <f t="shared" si="19"/>
        <v>0</v>
      </c>
      <c r="J70" s="146">
        <f t="shared" si="19"/>
        <v>0</v>
      </c>
      <c r="K70" s="146">
        <f t="shared" si="19"/>
        <v>0</v>
      </c>
      <c r="L70" s="146">
        <f t="shared" si="19"/>
        <v>0</v>
      </c>
      <c r="M70" s="146">
        <f t="shared" si="19"/>
        <v>0</v>
      </c>
      <c r="N70" s="146">
        <f t="shared" si="19"/>
        <v>0</v>
      </c>
      <c r="O70" s="146">
        <f t="shared" si="19"/>
        <v>0</v>
      </c>
      <c r="P70" s="146">
        <f t="shared" si="19"/>
        <v>0</v>
      </c>
      <c r="Q70" s="146">
        <f t="shared" si="19"/>
        <v>0</v>
      </c>
      <c r="R70" s="342">
        <f t="shared" si="19"/>
        <v>515000</v>
      </c>
      <c r="S70" s="150">
        <f t="shared" si="19"/>
        <v>465000</v>
      </c>
      <c r="T70" s="150">
        <f t="shared" si="19"/>
        <v>0</v>
      </c>
      <c r="U70" s="143"/>
    </row>
    <row r="71" spans="1:21" s="144" customFormat="1">
      <c r="A71" s="141" t="s">
        <v>602</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603</v>
      </c>
      <c r="B72" s="146">
        <f>SUM(C72+D72)</f>
        <v>0</v>
      </c>
      <c r="C72" s="147"/>
      <c r="D72" s="147"/>
      <c r="E72" s="147"/>
      <c r="F72" s="147"/>
      <c r="G72" s="147"/>
      <c r="H72" s="147"/>
      <c r="I72" s="147"/>
      <c r="J72" s="147"/>
      <c r="K72" s="147"/>
      <c r="L72" s="147"/>
      <c r="M72" s="147"/>
      <c r="N72" s="147"/>
      <c r="O72" s="147"/>
      <c r="P72" s="147"/>
      <c r="Q72" s="147"/>
      <c r="R72" s="516">
        <f>SUM(E72:Q72)</f>
        <v>0</v>
      </c>
      <c r="S72" s="148"/>
      <c r="T72" s="148"/>
      <c r="U72" s="143"/>
    </row>
    <row r="73" spans="1:21" s="144" customFormat="1">
      <c r="A73" s="145" t="s">
        <v>604</v>
      </c>
      <c r="B73" s="146">
        <f>SUM(C73+D73)</f>
        <v>0</v>
      </c>
      <c r="C73" s="147"/>
      <c r="D73" s="147"/>
      <c r="E73" s="147"/>
      <c r="F73" s="147"/>
      <c r="G73" s="147"/>
      <c r="H73" s="147"/>
      <c r="I73" s="147"/>
      <c r="J73" s="147"/>
      <c r="K73" s="147"/>
      <c r="L73" s="147"/>
      <c r="M73" s="147"/>
      <c r="N73" s="147"/>
      <c r="O73" s="147"/>
      <c r="P73" s="147"/>
      <c r="Q73" s="147"/>
      <c r="R73" s="516">
        <f>SUM(E73:Q73)</f>
        <v>0</v>
      </c>
      <c r="S73" s="148"/>
      <c r="T73" s="148"/>
      <c r="U73" s="143"/>
    </row>
    <row r="74" spans="1:21" s="144" customFormat="1">
      <c r="A74" s="450" t="s">
        <v>985</v>
      </c>
      <c r="B74" s="146">
        <f>SUM(C74+D74)</f>
        <v>0</v>
      </c>
      <c r="C74" s="147"/>
      <c r="D74" s="147"/>
      <c r="E74" s="147"/>
      <c r="F74" s="147"/>
      <c r="G74" s="147"/>
      <c r="H74" s="147"/>
      <c r="I74" s="147"/>
      <c r="J74" s="147"/>
      <c r="K74" s="147"/>
      <c r="L74" s="147"/>
      <c r="M74" s="147"/>
      <c r="N74" s="147"/>
      <c r="O74" s="147"/>
      <c r="P74" s="147"/>
      <c r="Q74" s="147"/>
      <c r="R74" s="516">
        <f>SUM(E74:Q74)</f>
        <v>0</v>
      </c>
      <c r="S74" s="148"/>
      <c r="T74" s="148"/>
      <c r="U74" s="143"/>
    </row>
    <row r="75" spans="1:21" s="144" customFormat="1">
      <c r="A75" s="145" t="s">
        <v>605</v>
      </c>
      <c r="B75" s="146">
        <f>SUM(C75+D75)</f>
        <v>1338473</v>
      </c>
      <c r="C75" s="147">
        <f>576840+761633</f>
        <v>1338473</v>
      </c>
      <c r="D75" s="147"/>
      <c r="E75" s="147">
        <f>B75</f>
        <v>1338473</v>
      </c>
      <c r="F75" s="147"/>
      <c r="G75" s="147"/>
      <c r="H75" s="147"/>
      <c r="I75" s="147"/>
      <c r="J75" s="147"/>
      <c r="K75" s="147"/>
      <c r="L75" s="147"/>
      <c r="M75" s="147"/>
      <c r="N75" s="147"/>
      <c r="O75" s="147"/>
      <c r="P75" s="147"/>
      <c r="Q75" s="147"/>
      <c r="R75" s="516">
        <f>SUM(E75:Q75)</f>
        <v>1338473</v>
      </c>
      <c r="S75" s="148"/>
      <c r="T75" s="148"/>
      <c r="U75" s="143"/>
    </row>
    <row r="76" spans="1:21" s="144" customFormat="1">
      <c r="A76" s="1149" t="s">
        <v>34</v>
      </c>
      <c r="B76" s="146">
        <f>SUM(C76+D76)</f>
        <v>0</v>
      </c>
      <c r="C76" s="147"/>
      <c r="D76" s="147"/>
      <c r="E76" s="147"/>
      <c r="F76" s="147"/>
      <c r="G76" s="147"/>
      <c r="H76" s="147"/>
      <c r="I76" s="147"/>
      <c r="J76" s="147"/>
      <c r="K76" s="147"/>
      <c r="L76" s="147"/>
      <c r="M76" s="147"/>
      <c r="N76" s="147"/>
      <c r="O76" s="147"/>
      <c r="P76" s="147"/>
      <c r="Q76" s="147"/>
      <c r="R76" s="516">
        <f>SUM(E76:Q76)</f>
        <v>0</v>
      </c>
      <c r="S76" s="148"/>
      <c r="T76" s="148"/>
      <c r="U76" s="143"/>
    </row>
    <row r="77" spans="1:21" s="144" customFormat="1">
      <c r="A77" s="149" t="s">
        <v>606</v>
      </c>
      <c r="B77" s="146">
        <f>SUM(C77:D77)</f>
        <v>1338473</v>
      </c>
      <c r="C77" s="146">
        <f>SUM(C72:C76)</f>
        <v>1338473</v>
      </c>
      <c r="D77" s="146">
        <f>SUM(D72:D76)</f>
        <v>0</v>
      </c>
      <c r="E77" s="146">
        <f t="shared" ref="E77:Q77" si="20">SUM(E72:E76)</f>
        <v>1338473</v>
      </c>
      <c r="F77" s="146">
        <f t="shared" si="20"/>
        <v>0</v>
      </c>
      <c r="G77" s="146">
        <f t="shared" si="20"/>
        <v>0</v>
      </c>
      <c r="H77" s="146">
        <f t="shared" si="20"/>
        <v>0</v>
      </c>
      <c r="I77" s="146">
        <f t="shared" si="20"/>
        <v>0</v>
      </c>
      <c r="J77" s="146">
        <f t="shared" si="20"/>
        <v>0</v>
      </c>
      <c r="K77" s="146">
        <f t="shared" si="20"/>
        <v>0</v>
      </c>
      <c r="L77" s="146">
        <f t="shared" si="20"/>
        <v>0</v>
      </c>
      <c r="M77" s="146">
        <f t="shared" si="20"/>
        <v>0</v>
      </c>
      <c r="N77" s="146">
        <f t="shared" si="20"/>
        <v>0</v>
      </c>
      <c r="O77" s="146">
        <f t="shared" si="20"/>
        <v>0</v>
      </c>
      <c r="P77" s="146">
        <f t="shared" si="20"/>
        <v>0</v>
      </c>
      <c r="Q77" s="146">
        <f t="shared" si="20"/>
        <v>0</v>
      </c>
      <c r="R77" s="342">
        <f>SUM(R72:R76)</f>
        <v>1338473</v>
      </c>
      <c r="S77" s="148"/>
      <c r="T77" s="148"/>
      <c r="U77" s="143"/>
    </row>
    <row r="78" spans="1:21" s="144" customFormat="1">
      <c r="A78" s="141" t="s">
        <v>1209</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1211</v>
      </c>
      <c r="B79" s="146">
        <f>SUM(C79:D79)</f>
        <v>2668928</v>
      </c>
      <c r="C79" s="147">
        <f>2668927+1</f>
        <v>2668928</v>
      </c>
      <c r="D79" s="147"/>
      <c r="E79" s="147">
        <f>B79</f>
        <v>2668928</v>
      </c>
      <c r="F79" s="147"/>
      <c r="G79" s="147"/>
      <c r="H79" s="147"/>
      <c r="I79" s="147"/>
      <c r="J79" s="147"/>
      <c r="K79" s="147"/>
      <c r="L79" s="147"/>
      <c r="M79" s="147"/>
      <c r="N79" s="147"/>
      <c r="O79" s="147"/>
      <c r="P79" s="147"/>
      <c r="Q79" s="147"/>
      <c r="R79" s="516">
        <f>SUM(E79:Q79)</f>
        <v>2668928</v>
      </c>
      <c r="S79" s="147">
        <f>R79</f>
        <v>2668928</v>
      </c>
      <c r="T79" s="147"/>
      <c r="U79" s="143"/>
    </row>
    <row r="80" spans="1:21" s="144" customFormat="1">
      <c r="A80" s="283" t="s">
        <v>58</v>
      </c>
      <c r="B80" s="146">
        <f>SUM(C80:D80)</f>
        <v>1371318</v>
      </c>
      <c r="C80" s="147">
        <v>1371318</v>
      </c>
      <c r="D80" s="147"/>
      <c r="E80" s="147">
        <f>B80</f>
        <v>1371318</v>
      </c>
      <c r="F80" s="147"/>
      <c r="G80" s="147"/>
      <c r="H80" s="147"/>
      <c r="I80" s="147"/>
      <c r="J80" s="147"/>
      <c r="K80" s="147"/>
      <c r="L80" s="147"/>
      <c r="M80" s="147"/>
      <c r="N80" s="147"/>
      <c r="O80" s="147"/>
      <c r="P80" s="147"/>
      <c r="Q80" s="147"/>
      <c r="R80" s="516">
        <f>SUM(E80:Q80)</f>
        <v>1371318</v>
      </c>
      <c r="S80" s="147">
        <f>R80</f>
        <v>1371318</v>
      </c>
      <c r="T80" s="147"/>
      <c r="U80" s="143"/>
    </row>
    <row r="81" spans="1:21" s="144" customFormat="1">
      <c r="A81" s="149" t="s">
        <v>1208</v>
      </c>
      <c r="B81" s="146">
        <f>SUM(C81:D81)</f>
        <v>4040246</v>
      </c>
      <c r="C81" s="509">
        <f>SUM(C79:C80)</f>
        <v>4040246</v>
      </c>
      <c r="D81" s="509">
        <f t="shared" ref="D81:T81" si="21">SUM(D79:D80)</f>
        <v>0</v>
      </c>
      <c r="E81" s="509">
        <f t="shared" si="21"/>
        <v>4040246</v>
      </c>
      <c r="F81" s="509">
        <f t="shared" si="21"/>
        <v>0</v>
      </c>
      <c r="G81" s="509">
        <f t="shared" si="21"/>
        <v>0</v>
      </c>
      <c r="H81" s="509">
        <f t="shared" si="21"/>
        <v>0</v>
      </c>
      <c r="I81" s="509">
        <f t="shared" si="21"/>
        <v>0</v>
      </c>
      <c r="J81" s="509">
        <f t="shared" si="21"/>
        <v>0</v>
      </c>
      <c r="K81" s="509">
        <f t="shared" si="21"/>
        <v>0</v>
      </c>
      <c r="L81" s="509">
        <f t="shared" si="21"/>
        <v>0</v>
      </c>
      <c r="M81" s="509">
        <f t="shared" si="21"/>
        <v>0</v>
      </c>
      <c r="N81" s="509">
        <f t="shared" si="21"/>
        <v>0</v>
      </c>
      <c r="O81" s="509">
        <f t="shared" si="21"/>
        <v>0</v>
      </c>
      <c r="P81" s="509">
        <f t="shared" si="21"/>
        <v>0</v>
      </c>
      <c r="Q81" s="509">
        <f t="shared" si="21"/>
        <v>0</v>
      </c>
      <c r="R81" s="509">
        <f t="shared" si="21"/>
        <v>4040246</v>
      </c>
      <c r="S81" s="509">
        <f t="shared" si="21"/>
        <v>4040246</v>
      </c>
      <c r="T81" s="509">
        <f t="shared" si="21"/>
        <v>0</v>
      </c>
      <c r="U81" s="143"/>
    </row>
    <row r="82" spans="1:21" s="144" customFormat="1">
      <c r="A82" s="141" t="s">
        <v>765</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 customHeight="1">
      <c r="A83" s="145" t="s">
        <v>2094</v>
      </c>
      <c r="B83" s="146">
        <f t="shared" ref="B83:B95" si="22">SUM(C83+D83)</f>
        <v>235808</v>
      </c>
      <c r="C83" s="147">
        <f>1000+43818+190990</f>
        <v>235808</v>
      </c>
      <c r="D83" s="147"/>
      <c r="E83" s="147">
        <f>B83</f>
        <v>235808</v>
      </c>
      <c r="F83" s="147"/>
      <c r="G83" s="147"/>
      <c r="H83" s="147"/>
      <c r="I83" s="147"/>
      <c r="J83" s="147"/>
      <c r="K83" s="147"/>
      <c r="L83" s="147"/>
      <c r="M83" s="147"/>
      <c r="N83" s="147"/>
      <c r="O83" s="147"/>
      <c r="P83" s="147"/>
      <c r="Q83" s="147"/>
      <c r="R83" s="516">
        <f t="shared" ref="R83:R95" si="23">SUM(E83:Q83)</f>
        <v>235808</v>
      </c>
      <c r="S83" s="148"/>
      <c r="T83" s="148"/>
      <c r="U83" s="143"/>
    </row>
    <row r="84" spans="1:21" s="144" customFormat="1">
      <c r="A84" s="145" t="s">
        <v>767</v>
      </c>
      <c r="B84" s="146">
        <f t="shared" si="22"/>
        <v>0</v>
      </c>
      <c r="C84" s="147"/>
      <c r="D84" s="147"/>
      <c r="E84" s="147"/>
      <c r="F84" s="147"/>
      <c r="G84" s="147"/>
      <c r="H84" s="147"/>
      <c r="I84" s="147"/>
      <c r="J84" s="147"/>
      <c r="K84" s="147"/>
      <c r="L84" s="147"/>
      <c r="M84" s="147"/>
      <c r="N84" s="147"/>
      <c r="O84" s="147"/>
      <c r="P84" s="147"/>
      <c r="Q84" s="147"/>
      <c r="R84" s="516">
        <f t="shared" si="23"/>
        <v>0</v>
      </c>
      <c r="S84" s="147">
        <v>0</v>
      </c>
      <c r="T84" s="147"/>
      <c r="U84" s="143"/>
    </row>
    <row r="85" spans="1:21" s="144" customFormat="1">
      <c r="A85" s="145" t="s">
        <v>768</v>
      </c>
      <c r="B85" s="146">
        <f t="shared" si="22"/>
        <v>0</v>
      </c>
      <c r="C85" s="147"/>
      <c r="D85" s="147"/>
      <c r="E85" s="147"/>
      <c r="F85" s="147"/>
      <c r="G85" s="147"/>
      <c r="H85" s="147"/>
      <c r="I85" s="147"/>
      <c r="J85" s="147"/>
      <c r="K85" s="147"/>
      <c r="L85" s="147"/>
      <c r="M85" s="147"/>
      <c r="N85" s="147"/>
      <c r="O85" s="147"/>
      <c r="P85" s="147"/>
      <c r="Q85" s="147"/>
      <c r="R85" s="516">
        <f t="shared" si="23"/>
        <v>0</v>
      </c>
      <c r="S85" s="147">
        <v>0</v>
      </c>
      <c r="T85" s="147"/>
      <c r="U85" s="143"/>
    </row>
    <row r="86" spans="1:21" s="144" customFormat="1">
      <c r="A86" s="145" t="s">
        <v>769</v>
      </c>
      <c r="B86" s="146">
        <f t="shared" si="22"/>
        <v>4058359</v>
      </c>
      <c r="C86" s="147">
        <v>4058359</v>
      </c>
      <c r="D86" s="147"/>
      <c r="E86" s="147">
        <f>B86</f>
        <v>4058359</v>
      </c>
      <c r="F86" s="147"/>
      <c r="G86" s="147"/>
      <c r="H86" s="147"/>
      <c r="I86" s="147"/>
      <c r="J86" s="147"/>
      <c r="K86" s="147"/>
      <c r="L86" s="147"/>
      <c r="M86" s="147"/>
      <c r="N86" s="147"/>
      <c r="O86" s="147"/>
      <c r="P86" s="147"/>
      <c r="Q86" s="147"/>
      <c r="R86" s="516">
        <f t="shared" si="23"/>
        <v>4058359</v>
      </c>
      <c r="S86" s="147">
        <f>R86</f>
        <v>4058359</v>
      </c>
      <c r="T86" s="147"/>
      <c r="U86" s="143"/>
    </row>
    <row r="87" spans="1:21" s="144" customFormat="1">
      <c r="A87" s="145" t="s">
        <v>770</v>
      </c>
      <c r="B87" s="146">
        <f t="shared" si="22"/>
        <v>0</v>
      </c>
      <c r="C87" s="147"/>
      <c r="D87" s="147"/>
      <c r="E87" s="147"/>
      <c r="F87" s="147"/>
      <c r="G87" s="147"/>
      <c r="H87" s="147"/>
      <c r="I87" s="147"/>
      <c r="J87" s="147"/>
      <c r="K87" s="147"/>
      <c r="L87" s="147"/>
      <c r="M87" s="147"/>
      <c r="N87" s="147"/>
      <c r="O87" s="147"/>
      <c r="P87" s="147"/>
      <c r="Q87" s="147"/>
      <c r="R87" s="516">
        <f t="shared" si="23"/>
        <v>0</v>
      </c>
      <c r="S87" s="147">
        <v>0</v>
      </c>
      <c r="T87" s="147"/>
      <c r="U87" s="143"/>
    </row>
    <row r="88" spans="1:21" s="144" customFormat="1">
      <c r="A88" s="145" t="s">
        <v>771</v>
      </c>
      <c r="B88" s="146">
        <f t="shared" si="22"/>
        <v>340000</v>
      </c>
      <c r="C88" s="147">
        <v>340000</v>
      </c>
      <c r="D88" s="147"/>
      <c r="E88" s="147">
        <f>B88</f>
        <v>340000</v>
      </c>
      <c r="F88" s="147"/>
      <c r="G88" s="147"/>
      <c r="H88" s="147"/>
      <c r="I88" s="147"/>
      <c r="J88" s="147"/>
      <c r="K88" s="147"/>
      <c r="L88" s="147"/>
      <c r="M88" s="147"/>
      <c r="N88" s="147"/>
      <c r="O88" s="147"/>
      <c r="P88" s="147"/>
      <c r="Q88" s="147"/>
      <c r="R88" s="516">
        <f t="shared" si="23"/>
        <v>340000</v>
      </c>
      <c r="S88" s="148"/>
      <c r="T88" s="148"/>
      <c r="U88" s="143"/>
    </row>
    <row r="89" spans="1:21" s="144" customFormat="1">
      <c r="A89" s="145" t="s">
        <v>772</v>
      </c>
      <c r="B89" s="146">
        <f t="shared" si="22"/>
        <v>381011</v>
      </c>
      <c r="C89" s="147">
        <v>381011</v>
      </c>
      <c r="D89" s="147"/>
      <c r="E89" s="147">
        <f>B89</f>
        <v>381011</v>
      </c>
      <c r="F89" s="147"/>
      <c r="G89" s="147"/>
      <c r="H89" s="147"/>
      <c r="I89" s="147"/>
      <c r="J89" s="147"/>
      <c r="K89" s="147"/>
      <c r="L89" s="147"/>
      <c r="M89" s="147"/>
      <c r="N89" s="147"/>
      <c r="O89" s="147"/>
      <c r="P89" s="147"/>
      <c r="Q89" s="147"/>
      <c r="R89" s="516">
        <f t="shared" si="23"/>
        <v>381011</v>
      </c>
      <c r="S89" s="147">
        <f>R89</f>
        <v>381011</v>
      </c>
      <c r="T89" s="147"/>
      <c r="U89" s="143"/>
    </row>
    <row r="90" spans="1:21" s="144" customFormat="1">
      <c r="A90" s="145" t="s">
        <v>773</v>
      </c>
      <c r="B90" s="146">
        <f t="shared" si="22"/>
        <v>0</v>
      </c>
      <c r="C90" s="147"/>
      <c r="D90" s="147"/>
      <c r="E90" s="147"/>
      <c r="F90" s="147"/>
      <c r="G90" s="147"/>
      <c r="H90" s="147"/>
      <c r="I90" s="147"/>
      <c r="J90" s="147"/>
      <c r="K90" s="147"/>
      <c r="L90" s="147"/>
      <c r="M90" s="147"/>
      <c r="N90" s="147"/>
      <c r="O90" s="147"/>
      <c r="P90" s="147"/>
      <c r="Q90" s="147"/>
      <c r="R90" s="516">
        <f t="shared" si="23"/>
        <v>0</v>
      </c>
      <c r="S90" s="147">
        <v>0</v>
      </c>
      <c r="T90" s="147"/>
      <c r="U90" s="143"/>
    </row>
    <row r="91" spans="1:21" s="144" customFormat="1">
      <c r="A91" s="145" t="s">
        <v>371</v>
      </c>
      <c r="B91" s="146">
        <f t="shared" si="22"/>
        <v>0</v>
      </c>
      <c r="C91" s="147"/>
      <c r="D91" s="147"/>
      <c r="E91" s="147"/>
      <c r="F91" s="147"/>
      <c r="G91" s="147"/>
      <c r="H91" s="147"/>
      <c r="I91" s="147"/>
      <c r="J91" s="147"/>
      <c r="K91" s="147"/>
      <c r="L91" s="147"/>
      <c r="M91" s="147"/>
      <c r="N91" s="147"/>
      <c r="O91" s="147"/>
      <c r="P91" s="147"/>
      <c r="Q91" s="147"/>
      <c r="R91" s="516">
        <f t="shared" si="23"/>
        <v>0</v>
      </c>
      <c r="S91" s="147">
        <v>0</v>
      </c>
      <c r="T91" s="147"/>
      <c r="U91" s="143"/>
    </row>
    <row r="92" spans="1:21" s="144" customFormat="1">
      <c r="A92" s="283" t="s">
        <v>1210</v>
      </c>
      <c r="B92" s="146">
        <f t="shared" si="22"/>
        <v>0</v>
      </c>
      <c r="C92" s="147"/>
      <c r="D92" s="147"/>
      <c r="E92" s="147"/>
      <c r="F92" s="147"/>
      <c r="G92" s="147"/>
      <c r="H92" s="147"/>
      <c r="I92" s="147"/>
      <c r="J92" s="147"/>
      <c r="K92" s="147"/>
      <c r="L92" s="147"/>
      <c r="M92" s="147"/>
      <c r="N92" s="147"/>
      <c r="O92" s="147"/>
      <c r="P92" s="147"/>
      <c r="Q92" s="147"/>
      <c r="R92" s="516">
        <f t="shared" si="23"/>
        <v>0</v>
      </c>
      <c r="S92" s="147">
        <v>0</v>
      </c>
      <c r="T92" s="147"/>
      <c r="U92" s="143"/>
    </row>
    <row r="93" spans="1:21" s="144" customFormat="1" ht="24">
      <c r="A93" s="1149" t="s">
        <v>2734</v>
      </c>
      <c r="B93" s="146">
        <f t="shared" si="22"/>
        <v>377132</v>
      </c>
      <c r="C93" s="147">
        <v>377132</v>
      </c>
      <c r="D93" s="147"/>
      <c r="E93" s="147">
        <f>B93</f>
        <v>377132</v>
      </c>
      <c r="F93" s="147"/>
      <c r="G93" s="147"/>
      <c r="H93" s="147"/>
      <c r="I93" s="147"/>
      <c r="J93" s="147"/>
      <c r="K93" s="147"/>
      <c r="L93" s="147"/>
      <c r="M93" s="147"/>
      <c r="N93" s="147"/>
      <c r="O93" s="147"/>
      <c r="P93" s="147"/>
      <c r="Q93" s="147"/>
      <c r="R93" s="516">
        <f t="shared" si="23"/>
        <v>377132</v>
      </c>
      <c r="S93" s="147">
        <f>R93</f>
        <v>377132</v>
      </c>
      <c r="T93" s="147"/>
      <c r="U93" s="143"/>
    </row>
    <row r="94" spans="1:21" s="144" customFormat="1">
      <c r="A94" s="1149" t="s">
        <v>2735</v>
      </c>
      <c r="B94" s="146">
        <f t="shared" si="22"/>
        <v>353387</v>
      </c>
      <c r="C94" s="147">
        <v>353387</v>
      </c>
      <c r="D94" s="147"/>
      <c r="E94" s="147">
        <f>B94</f>
        <v>353387</v>
      </c>
      <c r="F94" s="147"/>
      <c r="G94" s="147"/>
      <c r="H94" s="147"/>
      <c r="I94" s="147"/>
      <c r="J94" s="147"/>
      <c r="K94" s="147"/>
      <c r="L94" s="147"/>
      <c r="M94" s="147"/>
      <c r="N94" s="147"/>
      <c r="O94" s="147"/>
      <c r="P94" s="147"/>
      <c r="Q94" s="147"/>
      <c r="R94" s="516">
        <f t="shared" si="23"/>
        <v>353387</v>
      </c>
      <c r="S94" s="147">
        <f>R94</f>
        <v>353387</v>
      </c>
      <c r="T94" s="147"/>
      <c r="U94" s="143"/>
    </row>
    <row r="95" spans="1:21" s="144" customFormat="1">
      <c r="A95" s="1149" t="s">
        <v>34</v>
      </c>
      <c r="B95" s="146">
        <f t="shared" si="22"/>
        <v>0</v>
      </c>
      <c r="C95" s="147"/>
      <c r="D95" s="147"/>
      <c r="E95" s="147"/>
      <c r="F95" s="147"/>
      <c r="G95" s="147"/>
      <c r="H95" s="147"/>
      <c r="I95" s="147"/>
      <c r="J95" s="147"/>
      <c r="K95" s="147"/>
      <c r="L95" s="147"/>
      <c r="M95" s="147"/>
      <c r="N95" s="147"/>
      <c r="O95" s="147"/>
      <c r="P95" s="147"/>
      <c r="Q95" s="147"/>
      <c r="R95" s="516">
        <f t="shared" si="23"/>
        <v>0</v>
      </c>
      <c r="S95" s="147">
        <f>R95</f>
        <v>0</v>
      </c>
      <c r="T95" s="147"/>
      <c r="U95" s="143"/>
    </row>
    <row r="96" spans="1:21" s="144" customFormat="1">
      <c r="A96" s="149" t="s">
        <v>774</v>
      </c>
      <c r="B96" s="146">
        <f>SUM(C96:D96)</f>
        <v>5745697</v>
      </c>
      <c r="C96" s="146">
        <f t="shared" ref="C96:R96" si="24">SUM(C83:C95)</f>
        <v>5745697</v>
      </c>
      <c r="D96" s="146">
        <f t="shared" si="24"/>
        <v>0</v>
      </c>
      <c r="E96" s="146">
        <f t="shared" si="24"/>
        <v>5745697</v>
      </c>
      <c r="F96" s="146">
        <f t="shared" si="24"/>
        <v>0</v>
      </c>
      <c r="G96" s="146">
        <f t="shared" si="24"/>
        <v>0</v>
      </c>
      <c r="H96" s="146">
        <f t="shared" si="24"/>
        <v>0</v>
      </c>
      <c r="I96" s="146">
        <f t="shared" si="24"/>
        <v>0</v>
      </c>
      <c r="J96" s="146">
        <f t="shared" si="24"/>
        <v>0</v>
      </c>
      <c r="K96" s="146">
        <f t="shared" si="24"/>
        <v>0</v>
      </c>
      <c r="L96" s="146">
        <f t="shared" si="24"/>
        <v>0</v>
      </c>
      <c r="M96" s="146">
        <f t="shared" si="24"/>
        <v>0</v>
      </c>
      <c r="N96" s="146">
        <f t="shared" si="24"/>
        <v>0</v>
      </c>
      <c r="O96" s="146">
        <f t="shared" si="24"/>
        <v>0</v>
      </c>
      <c r="P96" s="146">
        <f t="shared" si="24"/>
        <v>0</v>
      </c>
      <c r="Q96" s="146">
        <f t="shared" si="24"/>
        <v>0</v>
      </c>
      <c r="R96" s="342">
        <f t="shared" si="24"/>
        <v>5745697</v>
      </c>
      <c r="S96" s="150">
        <f>SUM(S84:S87,S89:S95)</f>
        <v>5169889</v>
      </c>
      <c r="T96" s="146">
        <f>SUM(T84:T87,T89:T95)</f>
        <v>0</v>
      </c>
      <c r="U96" s="143"/>
    </row>
    <row r="97" spans="1:21" s="144" customFormat="1">
      <c r="A97" s="149" t="s">
        <v>775</v>
      </c>
      <c r="B97" s="146">
        <f>SUM(C97:D97)</f>
        <v>79309645</v>
      </c>
      <c r="C97" s="146">
        <f t="shared" ref="C97:R97" si="25">SUM(C63+C70+C77+C81+C96)</f>
        <v>79309645</v>
      </c>
      <c r="D97" s="146">
        <f t="shared" si="25"/>
        <v>0</v>
      </c>
      <c r="E97" s="146">
        <f t="shared" si="25"/>
        <v>34703713</v>
      </c>
      <c r="F97" s="146">
        <f t="shared" si="25"/>
        <v>43682565</v>
      </c>
      <c r="G97" s="146">
        <f t="shared" si="25"/>
        <v>923367</v>
      </c>
      <c r="H97" s="146">
        <f t="shared" si="25"/>
        <v>0</v>
      </c>
      <c r="I97" s="146">
        <f t="shared" si="25"/>
        <v>0</v>
      </c>
      <c r="J97" s="146">
        <f t="shared" si="25"/>
        <v>0</v>
      </c>
      <c r="K97" s="146">
        <f t="shared" si="25"/>
        <v>0</v>
      </c>
      <c r="L97" s="146">
        <f t="shared" si="25"/>
        <v>0</v>
      </c>
      <c r="M97" s="146">
        <f t="shared" si="25"/>
        <v>0</v>
      </c>
      <c r="N97" s="146">
        <f t="shared" si="25"/>
        <v>0</v>
      </c>
      <c r="O97" s="146">
        <f t="shared" si="25"/>
        <v>0</v>
      </c>
      <c r="P97" s="146">
        <f t="shared" si="25"/>
        <v>0</v>
      </c>
      <c r="Q97" s="146">
        <f t="shared" si="25"/>
        <v>0</v>
      </c>
      <c r="R97" s="146">
        <f t="shared" si="25"/>
        <v>79309645</v>
      </c>
      <c r="S97" s="146">
        <f>SUM(S63+S70+S81+S96)</f>
        <v>73463200</v>
      </c>
      <c r="T97" s="146">
        <f>SUM(T63+T70+T81+T96)</f>
        <v>0</v>
      </c>
      <c r="U97" s="143"/>
    </row>
    <row r="98" spans="1:21" s="144" customFormat="1">
      <c r="A98" s="141" t="s">
        <v>776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777</v>
      </c>
      <c r="B99" s="146">
        <f>SUM(C99+D99)</f>
        <v>11019480</v>
      </c>
      <c r="C99" s="979">
        <v>11019480</v>
      </c>
      <c r="D99" s="979"/>
      <c r="E99" s="979">
        <v>4339826</v>
      </c>
      <c r="F99" s="147"/>
      <c r="G99" s="147"/>
      <c r="H99" s="147">
        <f>Application!AO629</f>
        <v>6679654</v>
      </c>
      <c r="I99" s="147"/>
      <c r="J99" s="147"/>
      <c r="K99" s="147"/>
      <c r="L99" s="147"/>
      <c r="M99" s="147"/>
      <c r="N99" s="147"/>
      <c r="O99" s="147"/>
      <c r="P99" s="147"/>
      <c r="Q99" s="147"/>
      <c r="R99" s="516">
        <f>SUM(E99:Q99)</f>
        <v>11019480</v>
      </c>
      <c r="S99" s="147">
        <f>R99</f>
        <v>11019480</v>
      </c>
      <c r="T99" s="147"/>
      <c r="U99" s="143"/>
    </row>
    <row r="100" spans="1:21" s="144" customFormat="1">
      <c r="A100" s="283" t="s">
        <v>1645</v>
      </c>
      <c r="B100" s="146">
        <f>SUM(C100+D100)</f>
        <v>0</v>
      </c>
      <c r="C100" s="147"/>
      <c r="D100" s="147"/>
      <c r="E100" s="147"/>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778</v>
      </c>
      <c r="B101" s="146">
        <f>SUM(C101+D101)</f>
        <v>0</v>
      </c>
      <c r="C101" s="147"/>
      <c r="D101" s="147"/>
      <c r="E101" s="147"/>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1646</v>
      </c>
      <c r="B102" s="146">
        <f>SUM(C102+D102)</f>
        <v>0</v>
      </c>
      <c r="C102" s="147"/>
      <c r="D102" s="147"/>
      <c r="E102" s="147"/>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c r="F103" s="147"/>
      <c r="G103" s="147"/>
      <c r="H103" s="147"/>
      <c r="I103" s="147"/>
      <c r="J103" s="147"/>
      <c r="K103" s="147"/>
      <c r="L103" s="147"/>
      <c r="M103" s="147"/>
      <c r="N103" s="147"/>
      <c r="O103" s="147"/>
      <c r="P103" s="147"/>
      <c r="Q103" s="147"/>
      <c r="R103" s="516">
        <f>SUM(E103:Q103)</f>
        <v>0</v>
      </c>
      <c r="S103" s="147"/>
      <c r="T103" s="147"/>
      <c r="U103" s="143"/>
    </row>
    <row r="104" spans="1:21" s="144" customFormat="1">
      <c r="A104" s="149" t="s">
        <v>779</v>
      </c>
      <c r="B104" s="146">
        <f>SUM(C104:D104)</f>
        <v>11019480</v>
      </c>
      <c r="C104" s="146">
        <f>SUM(C99:C103)</f>
        <v>11019480</v>
      </c>
      <c r="D104" s="146">
        <f t="shared" ref="D104:T104" si="26">SUM(D99:D103)</f>
        <v>0</v>
      </c>
      <c r="E104" s="146">
        <f t="shared" si="26"/>
        <v>4339826</v>
      </c>
      <c r="F104" s="146">
        <f t="shared" si="26"/>
        <v>0</v>
      </c>
      <c r="G104" s="146">
        <f t="shared" si="26"/>
        <v>0</v>
      </c>
      <c r="H104" s="146">
        <f t="shared" si="26"/>
        <v>6679654</v>
      </c>
      <c r="I104" s="146">
        <f t="shared" si="26"/>
        <v>0</v>
      </c>
      <c r="J104" s="146">
        <f t="shared" si="26"/>
        <v>0</v>
      </c>
      <c r="K104" s="146">
        <f t="shared" si="26"/>
        <v>0</v>
      </c>
      <c r="L104" s="146">
        <f t="shared" si="26"/>
        <v>0</v>
      </c>
      <c r="M104" s="146">
        <f t="shared" si="26"/>
        <v>0</v>
      </c>
      <c r="N104" s="146">
        <f t="shared" si="26"/>
        <v>0</v>
      </c>
      <c r="O104" s="146">
        <f t="shared" si="26"/>
        <v>0</v>
      </c>
      <c r="P104" s="146">
        <f t="shared" si="26"/>
        <v>0</v>
      </c>
      <c r="Q104" s="146">
        <f t="shared" si="26"/>
        <v>0</v>
      </c>
      <c r="R104" s="342">
        <f t="shared" si="26"/>
        <v>11019480</v>
      </c>
      <c r="S104" s="150">
        <f t="shared" si="26"/>
        <v>11019480</v>
      </c>
      <c r="T104" s="150">
        <f t="shared" si="26"/>
        <v>0</v>
      </c>
      <c r="U104" s="143"/>
    </row>
    <row r="105" spans="1:21" s="144" customFormat="1">
      <c r="A105" s="149" t="s">
        <v>780</v>
      </c>
      <c r="B105" s="150">
        <f>SUM(C105:D105)</f>
        <v>90329125</v>
      </c>
      <c r="C105" s="150">
        <f t="shared" ref="C105:R105" si="27">SUM(C97+C104)</f>
        <v>90329125</v>
      </c>
      <c r="D105" s="150">
        <f t="shared" si="27"/>
        <v>0</v>
      </c>
      <c r="E105" s="150">
        <f t="shared" si="27"/>
        <v>39043539</v>
      </c>
      <c r="F105" s="150">
        <f t="shared" si="27"/>
        <v>43682565</v>
      </c>
      <c r="G105" s="150">
        <f t="shared" si="27"/>
        <v>923367</v>
      </c>
      <c r="H105" s="150">
        <f t="shared" si="27"/>
        <v>6679654</v>
      </c>
      <c r="I105" s="150">
        <f t="shared" si="27"/>
        <v>0</v>
      </c>
      <c r="J105" s="150">
        <f t="shared" si="27"/>
        <v>0</v>
      </c>
      <c r="K105" s="150">
        <f t="shared" si="27"/>
        <v>0</v>
      </c>
      <c r="L105" s="150">
        <f t="shared" si="27"/>
        <v>0</v>
      </c>
      <c r="M105" s="150">
        <f t="shared" si="27"/>
        <v>0</v>
      </c>
      <c r="N105" s="150">
        <f t="shared" si="27"/>
        <v>0</v>
      </c>
      <c r="O105" s="150">
        <f t="shared" si="27"/>
        <v>0</v>
      </c>
      <c r="P105" s="150">
        <f t="shared" si="27"/>
        <v>0</v>
      </c>
      <c r="Q105" s="150">
        <f t="shared" si="27"/>
        <v>0</v>
      </c>
      <c r="R105" s="342">
        <f t="shared" si="27"/>
        <v>90329125</v>
      </c>
      <c r="S105" s="150">
        <f>S97+S104</f>
        <v>84482680</v>
      </c>
      <c r="T105" s="150">
        <f>T97+T104</f>
        <v>0</v>
      </c>
      <c r="U105" s="143"/>
    </row>
    <row r="106" spans="1:21">
      <c r="A106" s="514" t="s">
        <v>1019</v>
      </c>
      <c r="B106" s="157"/>
      <c r="C106" s="157"/>
      <c r="D106" s="157"/>
      <c r="H106" s="159" t="s">
        <v>92</v>
      </c>
      <c r="I106" s="159"/>
      <c r="J106" s="159"/>
      <c r="R106" s="160" t="s">
        <v>93</v>
      </c>
      <c r="S106" s="147"/>
      <c r="T106" s="147"/>
    </row>
    <row r="107" spans="1:21">
      <c r="A107" s="157" t="s">
        <v>183</v>
      </c>
      <c r="C107" s="157"/>
      <c r="D107" s="157"/>
      <c r="I107" s="162" t="s">
        <v>349</v>
      </c>
      <c r="J107" s="162"/>
      <c r="R107" s="160" t="s">
        <v>94</v>
      </c>
      <c r="S107" s="150">
        <f>S105+S106</f>
        <v>84482680</v>
      </c>
      <c r="T107" s="150">
        <f>T105+T106</f>
        <v>0</v>
      </c>
    </row>
    <row r="108" spans="1:21" s="189" customFormat="1">
      <c r="A108" s="162" t="s">
        <v>879</v>
      </c>
      <c r="B108" s="157"/>
      <c r="C108" s="157"/>
      <c r="D108" s="157"/>
      <c r="E108" s="301">
        <f>Application!AO640</f>
        <v>39043539</v>
      </c>
      <c r="F108" s="301">
        <f>Application!AO627</f>
        <v>43682565</v>
      </c>
      <c r="G108" s="301">
        <f>Application!AO628</f>
        <v>923367</v>
      </c>
      <c r="H108" s="301">
        <f>Application!AO629</f>
        <v>6679654</v>
      </c>
      <c r="I108" s="301">
        <f>Application!AO630</f>
        <v>0</v>
      </c>
      <c r="J108" s="301">
        <f>Application!AO631</f>
        <v>0</v>
      </c>
      <c r="K108" s="301">
        <f>Application!AO632</f>
        <v>0</v>
      </c>
      <c r="L108" s="301">
        <f>Application!AO633</f>
        <v>0</v>
      </c>
      <c r="M108" s="301">
        <f>Application!AO634</f>
        <v>0</v>
      </c>
      <c r="N108" s="301">
        <f>Application!AO635</f>
        <v>0</v>
      </c>
      <c r="O108" s="301">
        <f>Application!AO636</f>
        <v>0</v>
      </c>
      <c r="P108" s="301">
        <f>Application!AO637</f>
        <v>0</v>
      </c>
      <c r="Q108" s="301">
        <f>Application!AO638</f>
        <v>0</v>
      </c>
      <c r="R108" s="158"/>
      <c r="S108" s="158"/>
      <c r="T108" s="158"/>
      <c r="U108" s="188"/>
    </row>
    <row r="109" spans="1:21" ht="10.15" customHeight="1">
      <c r="A109" s="157"/>
      <c r="B109" s="157"/>
      <c r="C109" s="157"/>
      <c r="D109" s="157"/>
    </row>
    <row r="110" spans="1:21">
      <c r="A110" s="162" t="s">
        <v>958</v>
      </c>
      <c r="B110" s="157"/>
      <c r="C110" s="157"/>
      <c r="D110" s="157"/>
    </row>
    <row r="111" spans="1:21">
      <c r="A111" s="156" t="s">
        <v>959</v>
      </c>
      <c r="B111" s="157"/>
      <c r="C111" s="157"/>
      <c r="D111" s="157"/>
    </row>
    <row r="112" spans="1:21" ht="12" customHeight="1">
      <c r="A112" s="312"/>
      <c r="B112" s="157"/>
      <c r="C112" s="157"/>
      <c r="D112" s="157"/>
    </row>
    <row r="113" spans="1:21">
      <c r="A113" s="156" t="s">
        <v>1018</v>
      </c>
      <c r="B113" s="157"/>
      <c r="C113" s="157"/>
      <c r="D113" s="157"/>
    </row>
    <row r="114" spans="1:21">
      <c r="A114" s="156" t="s">
        <v>2095</v>
      </c>
      <c r="B114" s="157"/>
      <c r="C114" s="157"/>
      <c r="D114" s="157"/>
    </row>
    <row r="115" spans="1:21" ht="12" customHeight="1">
      <c r="A115" s="312"/>
      <c r="B115" s="157"/>
      <c r="C115" s="157"/>
      <c r="D115" s="157"/>
    </row>
    <row r="116" spans="1:21">
      <c r="A116" s="345" t="s">
        <v>1021</v>
      </c>
      <c r="B116" s="157"/>
      <c r="C116" s="157"/>
      <c r="D116" s="157"/>
    </row>
    <row r="117" spans="1:21">
      <c r="A117" s="345" t="s">
        <v>1222</v>
      </c>
      <c r="B117" s="157"/>
      <c r="C117" s="157"/>
      <c r="D117" s="157"/>
    </row>
    <row r="118" spans="1:21">
      <c r="A118" s="345" t="s">
        <v>1020</v>
      </c>
      <c r="B118" s="157"/>
      <c r="C118" s="157"/>
      <c r="D118" s="157"/>
    </row>
    <row r="119" spans="1:21">
      <c r="A119" s="345" t="s">
        <v>1022</v>
      </c>
      <c r="B119" s="157"/>
      <c r="C119" s="157"/>
      <c r="D119" s="157"/>
    </row>
    <row r="120" spans="1:21" ht="12" customHeight="1">
      <c r="A120" s="344"/>
      <c r="B120" s="157"/>
      <c r="C120" s="157"/>
      <c r="D120" s="157"/>
    </row>
    <row r="121" spans="1:21" ht="15.75">
      <c r="A121" s="338" t="s">
        <v>1004</v>
      </c>
      <c r="B121" s="157"/>
      <c r="C121" s="157"/>
      <c r="D121" s="157"/>
    </row>
    <row r="122" spans="1:21">
      <c r="A122" s="325" t="s">
        <v>988</v>
      </c>
      <c r="B122" s="324"/>
      <c r="C122" s="324"/>
      <c r="D122" s="1864" t="s">
        <v>989</v>
      </c>
      <c r="E122" s="1864"/>
      <c r="F122" s="1864"/>
      <c r="G122" s="324"/>
      <c r="H122" s="324"/>
      <c r="I122" s="324"/>
      <c r="J122" s="324"/>
      <c r="K122" s="324"/>
      <c r="L122" s="324"/>
      <c r="M122" s="324"/>
      <c r="N122" s="324"/>
      <c r="O122" s="324"/>
      <c r="P122" s="324"/>
      <c r="Q122" s="324"/>
      <c r="R122" s="324"/>
      <c r="S122" s="324"/>
      <c r="T122" s="324"/>
      <c r="U122" s="326"/>
    </row>
    <row r="123" spans="1:21">
      <c r="A123" s="324" t="s">
        <v>990</v>
      </c>
      <c r="B123" s="333"/>
      <c r="C123" s="324"/>
      <c r="D123" s="1866" t="s">
        <v>1223</v>
      </c>
      <c r="E123" s="1781"/>
      <c r="F123" s="1781"/>
      <c r="G123" s="1781"/>
      <c r="H123" s="1781"/>
      <c r="I123" s="1781"/>
      <c r="J123" s="1781"/>
      <c r="K123" s="1781"/>
      <c r="L123" s="1781"/>
      <c r="M123" s="1781"/>
      <c r="N123" s="1781"/>
      <c r="O123" s="1781"/>
      <c r="P123" s="1781"/>
      <c r="Q123" s="1781"/>
      <c r="R123" s="1781"/>
      <c r="S123" s="1781"/>
      <c r="T123" s="324"/>
      <c r="U123" s="326"/>
    </row>
    <row r="124" spans="1:21" ht="12.75">
      <c r="A124" s="117" t="s">
        <v>991</v>
      </c>
      <c r="B124" s="333"/>
      <c r="C124" s="117"/>
      <c r="D124" s="1781"/>
      <c r="E124" s="1781"/>
      <c r="F124" s="1781"/>
      <c r="G124" s="1781"/>
      <c r="H124" s="1781"/>
      <c r="I124" s="1781"/>
      <c r="J124" s="1781"/>
      <c r="K124" s="1781"/>
      <c r="L124" s="1781"/>
      <c r="M124" s="1781"/>
      <c r="N124" s="1781"/>
      <c r="O124" s="1781"/>
      <c r="P124" s="1781"/>
      <c r="Q124" s="1781"/>
      <c r="R124" s="1781"/>
      <c r="S124" s="1781"/>
      <c r="T124" s="324"/>
      <c r="U124" s="326"/>
    </row>
    <row r="125" spans="1:21" ht="12.75">
      <c r="A125" s="117" t="s">
        <v>992</v>
      </c>
      <c r="B125" s="333"/>
      <c r="C125" s="117"/>
      <c r="D125" s="1781"/>
      <c r="E125" s="1781"/>
      <c r="F125" s="1781"/>
      <c r="G125" s="1781"/>
      <c r="H125" s="1781"/>
      <c r="I125" s="1781"/>
      <c r="J125" s="1781"/>
      <c r="K125" s="1781"/>
      <c r="L125" s="1781"/>
      <c r="M125" s="1781"/>
      <c r="N125" s="1781"/>
      <c r="O125" s="1781"/>
      <c r="P125" s="1781"/>
      <c r="Q125" s="1781"/>
      <c r="R125" s="1781"/>
      <c r="S125" s="1781"/>
      <c r="T125" s="324"/>
      <c r="U125" s="326"/>
    </row>
    <row r="126" spans="1:21" ht="12.75">
      <c r="A126" s="117" t="s">
        <v>993</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2.75">
      <c r="A127" s="117" t="s">
        <v>994</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2.75">
      <c r="A128" s="117" t="s">
        <v>995</v>
      </c>
      <c r="B128" s="333"/>
      <c r="C128" s="117"/>
      <c r="D128" s="1861"/>
      <c r="E128" s="1861"/>
      <c r="F128" s="1861"/>
      <c r="G128" s="1861"/>
      <c r="H128" s="1861"/>
      <c r="I128" s="117"/>
      <c r="J128" s="1862"/>
      <c r="K128" s="1862"/>
      <c r="L128" s="117"/>
      <c r="M128" s="117"/>
      <c r="N128" s="117"/>
      <c r="O128" s="117"/>
      <c r="P128" s="117"/>
      <c r="Q128" s="117"/>
      <c r="R128" s="117"/>
      <c r="S128" s="117"/>
      <c r="T128" s="324"/>
      <c r="U128" s="326"/>
    </row>
    <row r="129" spans="1:21" ht="12.75">
      <c r="A129" s="117" t="s">
        <v>299</v>
      </c>
      <c r="B129" s="333"/>
      <c r="C129" s="117"/>
      <c r="D129" s="1863" t="s">
        <v>996</v>
      </c>
      <c r="E129" s="1863"/>
      <c r="F129" s="1863"/>
      <c r="G129" s="1863"/>
      <c r="H129" s="1863"/>
      <c r="I129" s="117"/>
      <c r="J129" s="117" t="s">
        <v>997</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2.75">
      <c r="A131" s="335" t="s">
        <v>998</v>
      </c>
      <c r="B131" s="334">
        <f>SUM(B123:B129)</f>
        <v>0</v>
      </c>
      <c r="C131" s="117"/>
      <c r="D131" s="1808"/>
      <c r="E131" s="1808"/>
      <c r="F131" s="1808"/>
      <c r="G131" s="1808"/>
      <c r="H131" s="1808"/>
      <c r="I131" s="117"/>
      <c r="J131" s="1808"/>
      <c r="K131" s="1808"/>
      <c r="L131" s="1808"/>
      <c r="M131" s="1808"/>
      <c r="N131" s="117"/>
      <c r="O131" s="117"/>
      <c r="P131" s="117"/>
      <c r="Q131" s="117"/>
      <c r="R131" s="117"/>
      <c r="S131" s="117"/>
      <c r="T131" s="324"/>
      <c r="U131" s="326"/>
    </row>
    <row r="132" spans="1:21" ht="12" customHeight="1">
      <c r="A132" s="336"/>
      <c r="B132" s="117"/>
      <c r="C132" s="117"/>
      <c r="D132" s="1867" t="s">
        <v>999</v>
      </c>
      <c r="E132" s="1867"/>
      <c r="F132" s="1867"/>
      <c r="G132" s="1867"/>
      <c r="H132" s="1867"/>
      <c r="I132" s="117"/>
      <c r="J132" s="1867" t="s">
        <v>1000</v>
      </c>
      <c r="K132" s="1867"/>
      <c r="L132" s="1867"/>
      <c r="M132" s="1867"/>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75">
      <c r="A134" s="91" t="s">
        <v>1001</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2.75">
      <c r="A135" s="312" t="s">
        <v>1002</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7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68"/>
      <c r="B138" s="1861"/>
      <c r="C138" s="1861"/>
      <c r="D138" s="328"/>
      <c r="E138" s="1862"/>
      <c r="F138" s="1862"/>
      <c r="G138" s="117"/>
      <c r="H138" s="117"/>
      <c r="I138" s="117"/>
      <c r="J138" s="117"/>
      <c r="K138" s="117"/>
      <c r="L138" s="117"/>
      <c r="M138" s="117"/>
      <c r="N138" s="117"/>
      <c r="O138" s="117"/>
      <c r="P138" s="117"/>
      <c r="Q138" s="117"/>
      <c r="R138" s="117"/>
      <c r="S138" s="117"/>
      <c r="T138" s="330"/>
      <c r="U138" s="331"/>
    </row>
    <row r="139" spans="1:21" ht="12.75">
      <c r="A139" s="1865" t="s">
        <v>1003</v>
      </c>
      <c r="B139" s="1865"/>
      <c r="C139" s="1865"/>
      <c r="D139" s="328"/>
      <c r="E139" s="117" t="s">
        <v>997</v>
      </c>
      <c r="F139" s="117"/>
      <c r="G139" s="117"/>
      <c r="H139" s="117"/>
      <c r="I139" s="117"/>
      <c r="J139" s="117"/>
      <c r="K139" s="117"/>
      <c r="L139" s="117"/>
      <c r="M139" s="117"/>
      <c r="N139" s="117"/>
      <c r="O139" s="117"/>
      <c r="P139" s="117"/>
      <c r="Q139" s="117"/>
      <c r="R139" s="117"/>
      <c r="S139" s="117"/>
      <c r="T139" s="330"/>
      <c r="U139" s="331"/>
    </row>
    <row r="140" spans="1:21" ht="12.75">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workbookViewId="0">
      <selection sqref="A1:J1"/>
    </sheetView>
  </sheetViews>
  <sheetFormatPr defaultColWidth="0" defaultRowHeight="12" zeroHeight="1"/>
  <cols>
    <col min="1" max="1" width="32.7109375" style="397" customWidth="1"/>
    <col min="2" max="3" width="12.140625" style="393" customWidth="1"/>
    <col min="4" max="6" width="12.85546875" style="393" customWidth="1"/>
    <col min="7" max="9" width="12.140625" style="393" customWidth="1"/>
    <col min="10" max="10" width="12.140625" style="394" customWidth="1"/>
    <col min="11" max="11" width="8.85546875" style="395" hidden="1" customWidth="1"/>
    <col min="12" max="21" width="8.85546875" style="393" hidden="1" customWidth="1"/>
    <col min="22" max="23" width="0" style="393" hidden="1"/>
    <col min="24" max="256" width="8.85546875" style="393" hidden="1"/>
    <col min="257" max="257" width="32.7109375" style="393" hidden="1" customWidth="1"/>
    <col min="258" max="259" width="12.140625" style="393" hidden="1" customWidth="1"/>
    <col min="260" max="260" width="12.85546875" style="393" hidden="1" customWidth="1"/>
    <col min="261" max="266" width="12.140625" style="393" hidden="1" customWidth="1"/>
    <col min="267" max="277" width="8.85546875" style="393" hidden="1" customWidth="1"/>
    <col min="278" max="512" width="8.85546875" style="393" hidden="1"/>
    <col min="513" max="513" width="32.7109375" style="393" hidden="1" customWidth="1"/>
    <col min="514" max="515" width="12.140625" style="393" hidden="1" customWidth="1"/>
    <col min="516" max="516" width="12.85546875" style="393" hidden="1" customWidth="1"/>
    <col min="517" max="522" width="12.140625" style="393" hidden="1" customWidth="1"/>
    <col min="523" max="533" width="8.85546875" style="393" hidden="1" customWidth="1"/>
    <col min="534" max="768" width="8.85546875" style="393" hidden="1"/>
    <col min="769" max="769" width="32.7109375" style="393" hidden="1" customWidth="1"/>
    <col min="770" max="771" width="12.140625" style="393" hidden="1" customWidth="1"/>
    <col min="772" max="772" width="12.85546875" style="393" hidden="1" customWidth="1"/>
    <col min="773" max="778" width="12.140625" style="393" hidden="1" customWidth="1"/>
    <col min="779" max="789" width="8.85546875" style="393" hidden="1" customWidth="1"/>
    <col min="790" max="1024" width="8.85546875" style="393" hidden="1"/>
    <col min="1025" max="1025" width="32.7109375" style="393" hidden="1" customWidth="1"/>
    <col min="1026" max="1027" width="12.140625" style="393" hidden="1" customWidth="1"/>
    <col min="1028" max="1028" width="12.85546875" style="393" hidden="1" customWidth="1"/>
    <col min="1029" max="1034" width="12.140625" style="393" hidden="1" customWidth="1"/>
    <col min="1035" max="1045" width="8.85546875" style="393" hidden="1" customWidth="1"/>
    <col min="1046" max="1280" width="8.85546875" style="393" hidden="1"/>
    <col min="1281" max="1281" width="32.7109375" style="393" hidden="1" customWidth="1"/>
    <col min="1282" max="1283" width="12.140625" style="393" hidden="1" customWidth="1"/>
    <col min="1284" max="1284" width="12.85546875" style="393" hidden="1" customWidth="1"/>
    <col min="1285" max="1290" width="12.140625" style="393" hidden="1" customWidth="1"/>
    <col min="1291" max="1301" width="8.85546875" style="393" hidden="1" customWidth="1"/>
    <col min="1302" max="1536" width="8.85546875" style="393" hidden="1"/>
    <col min="1537" max="1537" width="32.7109375" style="393" hidden="1" customWidth="1"/>
    <col min="1538" max="1539" width="12.140625" style="393" hidden="1" customWidth="1"/>
    <col min="1540" max="1540" width="12.85546875" style="393" hidden="1" customWidth="1"/>
    <col min="1541" max="1546" width="12.140625" style="393" hidden="1" customWidth="1"/>
    <col min="1547" max="1557" width="8.85546875" style="393" hidden="1" customWidth="1"/>
    <col min="1558" max="1792" width="8.85546875" style="393" hidden="1"/>
    <col min="1793" max="1793" width="32.7109375" style="393" hidden="1" customWidth="1"/>
    <col min="1794" max="1795" width="12.140625" style="393" hidden="1" customWidth="1"/>
    <col min="1796" max="1796" width="12.85546875" style="393" hidden="1" customWidth="1"/>
    <col min="1797" max="1802" width="12.140625" style="393" hidden="1" customWidth="1"/>
    <col min="1803" max="1813" width="8.85546875" style="393" hidden="1" customWidth="1"/>
    <col min="1814" max="2048" width="8.85546875" style="393" hidden="1"/>
    <col min="2049" max="2049" width="32.7109375" style="393" hidden="1" customWidth="1"/>
    <col min="2050" max="2051" width="12.140625" style="393" hidden="1" customWidth="1"/>
    <col min="2052" max="2052" width="12.85546875" style="393" hidden="1" customWidth="1"/>
    <col min="2053" max="2058" width="12.140625" style="393" hidden="1" customWidth="1"/>
    <col min="2059" max="2069" width="8.85546875" style="393" hidden="1" customWidth="1"/>
    <col min="2070" max="2304" width="8.85546875" style="393" hidden="1"/>
    <col min="2305" max="2305" width="32.7109375" style="393" hidden="1" customWidth="1"/>
    <col min="2306" max="2307" width="12.140625" style="393" hidden="1" customWidth="1"/>
    <col min="2308" max="2308" width="12.85546875" style="393" hidden="1" customWidth="1"/>
    <col min="2309" max="2314" width="12.140625" style="393" hidden="1" customWidth="1"/>
    <col min="2315" max="2325" width="8.85546875" style="393" hidden="1" customWidth="1"/>
    <col min="2326" max="2560" width="8.85546875" style="393" hidden="1"/>
    <col min="2561" max="2561" width="32.7109375" style="393" hidden="1" customWidth="1"/>
    <col min="2562" max="2563" width="12.140625" style="393" hidden="1" customWidth="1"/>
    <col min="2564" max="2564" width="12.85546875" style="393" hidden="1" customWidth="1"/>
    <col min="2565" max="2570" width="12.140625" style="393" hidden="1" customWidth="1"/>
    <col min="2571" max="2581" width="8.85546875" style="393" hidden="1" customWidth="1"/>
    <col min="2582" max="2816" width="8.85546875" style="393" hidden="1"/>
    <col min="2817" max="2817" width="32.7109375" style="393" hidden="1" customWidth="1"/>
    <col min="2818" max="2819" width="12.140625" style="393" hidden="1" customWidth="1"/>
    <col min="2820" max="2820" width="12.85546875" style="393" hidden="1" customWidth="1"/>
    <col min="2821" max="2826" width="12.140625" style="393" hidden="1" customWidth="1"/>
    <col min="2827" max="2837" width="8.85546875" style="393" hidden="1" customWidth="1"/>
    <col min="2838" max="3072" width="8.85546875" style="393" hidden="1"/>
    <col min="3073" max="3073" width="32.7109375" style="393" hidden="1" customWidth="1"/>
    <col min="3074" max="3075" width="12.140625" style="393" hidden="1" customWidth="1"/>
    <col min="3076" max="3076" width="12.85546875" style="393" hidden="1" customWidth="1"/>
    <col min="3077" max="3082" width="12.140625" style="393" hidden="1" customWidth="1"/>
    <col min="3083" max="3093" width="8.85546875" style="393" hidden="1" customWidth="1"/>
    <col min="3094" max="3328" width="8.85546875" style="393" hidden="1"/>
    <col min="3329" max="3329" width="32.7109375" style="393" hidden="1" customWidth="1"/>
    <col min="3330" max="3331" width="12.140625" style="393" hidden="1" customWidth="1"/>
    <col min="3332" max="3332" width="12.85546875" style="393" hidden="1" customWidth="1"/>
    <col min="3333" max="3338" width="12.140625" style="393" hidden="1" customWidth="1"/>
    <col min="3339" max="3349" width="8.85546875" style="393" hidden="1" customWidth="1"/>
    <col min="3350" max="3584" width="8.85546875" style="393" hidden="1"/>
    <col min="3585" max="3585" width="32.7109375" style="393" hidden="1" customWidth="1"/>
    <col min="3586" max="3587" width="12.140625" style="393" hidden="1" customWidth="1"/>
    <col min="3588" max="3588" width="12.85546875" style="393" hidden="1" customWidth="1"/>
    <col min="3589" max="3594" width="12.140625" style="393" hidden="1" customWidth="1"/>
    <col min="3595" max="3605" width="8.85546875" style="393" hidden="1" customWidth="1"/>
    <col min="3606" max="3840" width="8.85546875" style="393" hidden="1"/>
    <col min="3841" max="3841" width="32.7109375" style="393" hidden="1" customWidth="1"/>
    <col min="3842" max="3843" width="12.140625" style="393" hidden="1" customWidth="1"/>
    <col min="3844" max="3844" width="12.85546875" style="393" hidden="1" customWidth="1"/>
    <col min="3845" max="3850" width="12.140625" style="393" hidden="1" customWidth="1"/>
    <col min="3851" max="3861" width="8.85546875" style="393" hidden="1" customWidth="1"/>
    <col min="3862" max="4096" width="8.85546875" style="393" hidden="1"/>
    <col min="4097" max="4097" width="32.7109375" style="393" hidden="1" customWidth="1"/>
    <col min="4098" max="4099" width="12.140625" style="393" hidden="1" customWidth="1"/>
    <col min="4100" max="4100" width="12.85546875" style="393" hidden="1" customWidth="1"/>
    <col min="4101" max="4106" width="12.140625" style="393" hidden="1" customWidth="1"/>
    <col min="4107" max="4117" width="8.85546875" style="393" hidden="1" customWidth="1"/>
    <col min="4118" max="4352" width="8.85546875" style="393" hidden="1"/>
    <col min="4353" max="4353" width="32.7109375" style="393" hidden="1" customWidth="1"/>
    <col min="4354" max="4355" width="12.140625" style="393" hidden="1" customWidth="1"/>
    <col min="4356" max="4356" width="12.85546875" style="393" hidden="1" customWidth="1"/>
    <col min="4357" max="4362" width="12.140625" style="393" hidden="1" customWidth="1"/>
    <col min="4363" max="4373" width="8.85546875" style="393" hidden="1" customWidth="1"/>
    <col min="4374" max="4608" width="8.85546875" style="393" hidden="1"/>
    <col min="4609" max="4609" width="32.7109375" style="393" hidden="1" customWidth="1"/>
    <col min="4610" max="4611" width="12.140625" style="393" hidden="1" customWidth="1"/>
    <col min="4612" max="4612" width="12.85546875" style="393" hidden="1" customWidth="1"/>
    <col min="4613" max="4618" width="12.140625" style="393" hidden="1" customWidth="1"/>
    <col min="4619" max="4629" width="8.85546875" style="393" hidden="1" customWidth="1"/>
    <col min="4630" max="4864" width="8.85546875" style="393" hidden="1"/>
    <col min="4865" max="4865" width="32.7109375" style="393" hidden="1" customWidth="1"/>
    <col min="4866" max="4867" width="12.140625" style="393" hidden="1" customWidth="1"/>
    <col min="4868" max="4868" width="12.85546875" style="393" hidden="1" customWidth="1"/>
    <col min="4869" max="4874" width="12.140625" style="393" hidden="1" customWidth="1"/>
    <col min="4875" max="4885" width="8.85546875" style="393" hidden="1" customWidth="1"/>
    <col min="4886" max="5120" width="8.85546875" style="393" hidden="1"/>
    <col min="5121" max="5121" width="32.7109375" style="393" hidden="1" customWidth="1"/>
    <col min="5122" max="5123" width="12.140625" style="393" hidden="1" customWidth="1"/>
    <col min="5124" max="5124" width="12.85546875" style="393" hidden="1" customWidth="1"/>
    <col min="5125" max="5130" width="12.140625" style="393" hidden="1" customWidth="1"/>
    <col min="5131" max="5141" width="8.85546875" style="393" hidden="1" customWidth="1"/>
    <col min="5142" max="5376" width="8.85546875" style="393" hidden="1"/>
    <col min="5377" max="5377" width="32.7109375" style="393" hidden="1" customWidth="1"/>
    <col min="5378" max="5379" width="12.140625" style="393" hidden="1" customWidth="1"/>
    <col min="5380" max="5380" width="12.85546875" style="393" hidden="1" customWidth="1"/>
    <col min="5381" max="5386" width="12.140625" style="393" hidden="1" customWidth="1"/>
    <col min="5387" max="5397" width="8.85546875" style="393" hidden="1" customWidth="1"/>
    <col min="5398" max="5632" width="8.85546875" style="393" hidden="1"/>
    <col min="5633" max="5633" width="32.7109375" style="393" hidden="1" customWidth="1"/>
    <col min="5634" max="5635" width="12.140625" style="393" hidden="1" customWidth="1"/>
    <col min="5636" max="5636" width="12.85546875" style="393" hidden="1" customWidth="1"/>
    <col min="5637" max="5642" width="12.140625" style="393" hidden="1" customWidth="1"/>
    <col min="5643" max="5653" width="8.85546875" style="393" hidden="1" customWidth="1"/>
    <col min="5654" max="5888" width="8.85546875" style="393" hidden="1"/>
    <col min="5889" max="5889" width="32.7109375" style="393" hidden="1" customWidth="1"/>
    <col min="5890" max="5891" width="12.140625" style="393" hidden="1" customWidth="1"/>
    <col min="5892" max="5892" width="12.85546875" style="393" hidden="1" customWidth="1"/>
    <col min="5893" max="5898" width="12.140625" style="393" hidden="1" customWidth="1"/>
    <col min="5899" max="5909" width="8.85546875" style="393" hidden="1" customWidth="1"/>
    <col min="5910" max="6144" width="8.85546875" style="393" hidden="1"/>
    <col min="6145" max="6145" width="32.7109375" style="393" hidden="1" customWidth="1"/>
    <col min="6146" max="6147" width="12.140625" style="393" hidden="1" customWidth="1"/>
    <col min="6148" max="6148" width="12.85546875" style="393" hidden="1" customWidth="1"/>
    <col min="6149" max="6154" width="12.140625" style="393" hidden="1" customWidth="1"/>
    <col min="6155" max="6165" width="8.85546875" style="393" hidden="1" customWidth="1"/>
    <col min="6166" max="6400" width="8.85546875" style="393" hidden="1"/>
    <col min="6401" max="6401" width="32.7109375" style="393" hidden="1" customWidth="1"/>
    <col min="6402" max="6403" width="12.140625" style="393" hidden="1" customWidth="1"/>
    <col min="6404" max="6404" width="12.85546875" style="393" hidden="1" customWidth="1"/>
    <col min="6405" max="6410" width="12.140625" style="393" hidden="1" customWidth="1"/>
    <col min="6411" max="6421" width="8.85546875" style="393" hidden="1" customWidth="1"/>
    <col min="6422" max="6656" width="8.85546875" style="393" hidden="1"/>
    <col min="6657" max="6657" width="32.7109375" style="393" hidden="1" customWidth="1"/>
    <col min="6658" max="6659" width="12.140625" style="393" hidden="1" customWidth="1"/>
    <col min="6660" max="6660" width="12.85546875" style="393" hidden="1" customWidth="1"/>
    <col min="6661" max="6666" width="12.140625" style="393" hidden="1" customWidth="1"/>
    <col min="6667" max="6677" width="8.85546875" style="393" hidden="1" customWidth="1"/>
    <col min="6678" max="6912" width="8.85546875" style="393" hidden="1"/>
    <col min="6913" max="6913" width="32.7109375" style="393" hidden="1" customWidth="1"/>
    <col min="6914" max="6915" width="12.140625" style="393" hidden="1" customWidth="1"/>
    <col min="6916" max="6916" width="12.85546875" style="393" hidden="1" customWidth="1"/>
    <col min="6917" max="6922" width="12.140625" style="393" hidden="1" customWidth="1"/>
    <col min="6923" max="6933" width="8.85546875" style="393" hidden="1" customWidth="1"/>
    <col min="6934" max="7168" width="8.85546875" style="393" hidden="1"/>
    <col min="7169" max="7169" width="32.7109375" style="393" hidden="1" customWidth="1"/>
    <col min="7170" max="7171" width="12.140625" style="393" hidden="1" customWidth="1"/>
    <col min="7172" max="7172" width="12.85546875" style="393" hidden="1" customWidth="1"/>
    <col min="7173" max="7178" width="12.140625" style="393" hidden="1" customWidth="1"/>
    <col min="7179" max="7189" width="8.85546875" style="393" hidden="1" customWidth="1"/>
    <col min="7190" max="7424" width="8.85546875" style="393" hidden="1"/>
    <col min="7425" max="7425" width="32.7109375" style="393" hidden="1" customWidth="1"/>
    <col min="7426" max="7427" width="12.140625" style="393" hidden="1" customWidth="1"/>
    <col min="7428" max="7428" width="12.85546875" style="393" hidden="1" customWidth="1"/>
    <col min="7429" max="7434" width="12.140625" style="393" hidden="1" customWidth="1"/>
    <col min="7435" max="7445" width="8.85546875" style="393" hidden="1" customWidth="1"/>
    <col min="7446" max="7680" width="8.85546875" style="393" hidden="1"/>
    <col min="7681" max="7681" width="32.7109375" style="393" hidden="1" customWidth="1"/>
    <col min="7682" max="7683" width="12.140625" style="393" hidden="1" customWidth="1"/>
    <col min="7684" max="7684" width="12.85546875" style="393" hidden="1" customWidth="1"/>
    <col min="7685" max="7690" width="12.140625" style="393" hidden="1" customWidth="1"/>
    <col min="7691" max="7701" width="8.85546875" style="393" hidden="1" customWidth="1"/>
    <col min="7702" max="7936" width="8.85546875" style="393" hidden="1"/>
    <col min="7937" max="7937" width="32.7109375" style="393" hidden="1" customWidth="1"/>
    <col min="7938" max="7939" width="12.140625" style="393" hidden="1" customWidth="1"/>
    <col min="7940" max="7940" width="12.85546875" style="393" hidden="1" customWidth="1"/>
    <col min="7941" max="7946" width="12.140625" style="393" hidden="1" customWidth="1"/>
    <col min="7947" max="7957" width="8.85546875" style="393" hidden="1" customWidth="1"/>
    <col min="7958" max="8192" width="8.85546875" style="393" hidden="1"/>
    <col min="8193" max="8193" width="32.7109375" style="393" hidden="1" customWidth="1"/>
    <col min="8194" max="8195" width="12.140625" style="393" hidden="1" customWidth="1"/>
    <col min="8196" max="8196" width="12.85546875" style="393" hidden="1" customWidth="1"/>
    <col min="8197" max="8202" width="12.140625" style="393" hidden="1" customWidth="1"/>
    <col min="8203" max="8213" width="8.85546875" style="393" hidden="1" customWidth="1"/>
    <col min="8214" max="8448" width="8.85546875" style="393" hidden="1"/>
    <col min="8449" max="8449" width="32.7109375" style="393" hidden="1" customWidth="1"/>
    <col min="8450" max="8451" width="12.140625" style="393" hidden="1" customWidth="1"/>
    <col min="8452" max="8452" width="12.85546875" style="393" hidden="1" customWidth="1"/>
    <col min="8453" max="8458" width="12.140625" style="393" hidden="1" customWidth="1"/>
    <col min="8459" max="8469" width="8.85546875" style="393" hidden="1" customWidth="1"/>
    <col min="8470" max="8704" width="8.85546875" style="393" hidden="1"/>
    <col min="8705" max="8705" width="32.7109375" style="393" hidden="1" customWidth="1"/>
    <col min="8706" max="8707" width="12.140625" style="393" hidden="1" customWidth="1"/>
    <col min="8708" max="8708" width="12.85546875" style="393" hidden="1" customWidth="1"/>
    <col min="8709" max="8714" width="12.140625" style="393" hidden="1" customWidth="1"/>
    <col min="8715" max="8725" width="8.85546875" style="393" hidden="1" customWidth="1"/>
    <col min="8726" max="8960" width="8.85546875" style="393" hidden="1"/>
    <col min="8961" max="8961" width="32.7109375" style="393" hidden="1" customWidth="1"/>
    <col min="8962" max="8963" width="12.140625" style="393" hidden="1" customWidth="1"/>
    <col min="8964" max="8964" width="12.85546875" style="393" hidden="1" customWidth="1"/>
    <col min="8965" max="8970" width="12.140625" style="393" hidden="1" customWidth="1"/>
    <col min="8971" max="8981" width="8.85546875" style="393" hidden="1" customWidth="1"/>
    <col min="8982" max="9216" width="8.85546875" style="393" hidden="1"/>
    <col min="9217" max="9217" width="32.7109375" style="393" hidden="1" customWidth="1"/>
    <col min="9218" max="9219" width="12.140625" style="393" hidden="1" customWidth="1"/>
    <col min="9220" max="9220" width="12.85546875" style="393" hidden="1" customWidth="1"/>
    <col min="9221" max="9226" width="12.140625" style="393" hidden="1" customWidth="1"/>
    <col min="9227" max="9237" width="8.85546875" style="393" hidden="1" customWidth="1"/>
    <col min="9238" max="9472" width="8.85546875" style="393" hidden="1"/>
    <col min="9473" max="9473" width="32.7109375" style="393" hidden="1" customWidth="1"/>
    <col min="9474" max="9475" width="12.140625" style="393" hidden="1" customWidth="1"/>
    <col min="9476" max="9476" width="12.85546875" style="393" hidden="1" customWidth="1"/>
    <col min="9477" max="9482" width="12.140625" style="393" hidden="1" customWidth="1"/>
    <col min="9483" max="9493" width="8.85546875" style="393" hidden="1" customWidth="1"/>
    <col min="9494" max="9728" width="8.85546875" style="393" hidden="1"/>
    <col min="9729" max="9729" width="32.7109375" style="393" hidden="1" customWidth="1"/>
    <col min="9730" max="9731" width="12.140625" style="393" hidden="1" customWidth="1"/>
    <col min="9732" max="9732" width="12.85546875" style="393" hidden="1" customWidth="1"/>
    <col min="9733" max="9738" width="12.140625" style="393" hidden="1" customWidth="1"/>
    <col min="9739" max="9749" width="8.85546875" style="393" hidden="1" customWidth="1"/>
    <col min="9750" max="9984" width="8.85546875" style="393" hidden="1"/>
    <col min="9985" max="9985" width="32.7109375" style="393" hidden="1" customWidth="1"/>
    <col min="9986" max="9987" width="12.140625" style="393" hidden="1" customWidth="1"/>
    <col min="9988" max="9988" width="12.85546875" style="393" hidden="1" customWidth="1"/>
    <col min="9989" max="9994" width="12.140625" style="393" hidden="1" customWidth="1"/>
    <col min="9995" max="10005" width="8.85546875" style="393" hidden="1" customWidth="1"/>
    <col min="10006" max="10240" width="8.85546875" style="393" hidden="1"/>
    <col min="10241" max="10241" width="32.7109375" style="393" hidden="1" customWidth="1"/>
    <col min="10242" max="10243" width="12.140625" style="393" hidden="1" customWidth="1"/>
    <col min="10244" max="10244" width="12.85546875" style="393" hidden="1" customWidth="1"/>
    <col min="10245" max="10250" width="12.140625" style="393" hidden="1" customWidth="1"/>
    <col min="10251" max="10261" width="8.85546875" style="393" hidden="1" customWidth="1"/>
    <col min="10262" max="10496" width="8.85546875" style="393" hidden="1"/>
    <col min="10497" max="10497" width="32.7109375" style="393" hidden="1" customWidth="1"/>
    <col min="10498" max="10499" width="12.140625" style="393" hidden="1" customWidth="1"/>
    <col min="10500" max="10500" width="12.85546875" style="393" hidden="1" customWidth="1"/>
    <col min="10501" max="10506" width="12.140625" style="393" hidden="1" customWidth="1"/>
    <col min="10507" max="10517" width="8.85546875" style="393" hidden="1" customWidth="1"/>
    <col min="10518" max="10752" width="8.85546875" style="393" hidden="1"/>
    <col min="10753" max="10753" width="32.7109375" style="393" hidden="1" customWidth="1"/>
    <col min="10754" max="10755" width="12.140625" style="393" hidden="1" customWidth="1"/>
    <col min="10756" max="10756" width="12.85546875" style="393" hidden="1" customWidth="1"/>
    <col min="10757" max="10762" width="12.140625" style="393" hidden="1" customWidth="1"/>
    <col min="10763" max="10773" width="8.85546875" style="393" hidden="1" customWidth="1"/>
    <col min="10774" max="11008" width="8.85546875" style="393" hidden="1"/>
    <col min="11009" max="11009" width="32.7109375" style="393" hidden="1" customWidth="1"/>
    <col min="11010" max="11011" width="12.140625" style="393" hidden="1" customWidth="1"/>
    <col min="11012" max="11012" width="12.85546875" style="393" hidden="1" customWidth="1"/>
    <col min="11013" max="11018" width="12.140625" style="393" hidden="1" customWidth="1"/>
    <col min="11019" max="11029" width="8.85546875" style="393" hidden="1" customWidth="1"/>
    <col min="11030" max="11264" width="8.85546875" style="393" hidden="1"/>
    <col min="11265" max="11265" width="32.7109375" style="393" hidden="1" customWidth="1"/>
    <col min="11266" max="11267" width="12.140625" style="393" hidden="1" customWidth="1"/>
    <col min="11268" max="11268" width="12.85546875" style="393" hidden="1" customWidth="1"/>
    <col min="11269" max="11274" width="12.140625" style="393" hidden="1" customWidth="1"/>
    <col min="11275" max="11285" width="8.85546875" style="393" hidden="1" customWidth="1"/>
    <col min="11286" max="11520" width="8.85546875" style="393" hidden="1"/>
    <col min="11521" max="11521" width="32.7109375" style="393" hidden="1" customWidth="1"/>
    <col min="11522" max="11523" width="12.140625" style="393" hidden="1" customWidth="1"/>
    <col min="11524" max="11524" width="12.85546875" style="393" hidden="1" customWidth="1"/>
    <col min="11525" max="11530" width="12.140625" style="393" hidden="1" customWidth="1"/>
    <col min="11531" max="11541" width="8.85546875" style="393" hidden="1" customWidth="1"/>
    <col min="11542" max="11776" width="8.85546875" style="393" hidden="1"/>
    <col min="11777" max="11777" width="32.7109375" style="393" hidden="1" customWidth="1"/>
    <col min="11778" max="11779" width="12.140625" style="393" hidden="1" customWidth="1"/>
    <col min="11780" max="11780" width="12.85546875" style="393" hidden="1" customWidth="1"/>
    <col min="11781" max="11786" width="12.140625" style="393" hidden="1" customWidth="1"/>
    <col min="11787" max="11797" width="8.85546875" style="393" hidden="1" customWidth="1"/>
    <col min="11798" max="12032" width="8.85546875" style="393" hidden="1"/>
    <col min="12033" max="12033" width="32.7109375" style="393" hidden="1" customWidth="1"/>
    <col min="12034" max="12035" width="12.140625" style="393" hidden="1" customWidth="1"/>
    <col min="12036" max="12036" width="12.85546875" style="393" hidden="1" customWidth="1"/>
    <col min="12037" max="12042" width="12.140625" style="393" hidden="1" customWidth="1"/>
    <col min="12043" max="12053" width="8.85546875" style="393" hidden="1" customWidth="1"/>
    <col min="12054" max="12288" width="8.85546875" style="393" hidden="1"/>
    <col min="12289" max="12289" width="32.7109375" style="393" hidden="1" customWidth="1"/>
    <col min="12290" max="12291" width="12.140625" style="393" hidden="1" customWidth="1"/>
    <col min="12292" max="12292" width="12.85546875" style="393" hidden="1" customWidth="1"/>
    <col min="12293" max="12298" width="12.140625" style="393" hidden="1" customWidth="1"/>
    <col min="12299" max="12309" width="8.85546875" style="393" hidden="1" customWidth="1"/>
    <col min="12310" max="12544" width="8.85546875" style="393" hidden="1"/>
    <col min="12545" max="12545" width="32.7109375" style="393" hidden="1" customWidth="1"/>
    <col min="12546" max="12547" width="12.140625" style="393" hidden="1" customWidth="1"/>
    <col min="12548" max="12548" width="12.85546875" style="393" hidden="1" customWidth="1"/>
    <col min="12549" max="12554" width="12.140625" style="393" hidden="1" customWidth="1"/>
    <col min="12555" max="12565" width="8.85546875" style="393" hidden="1" customWidth="1"/>
    <col min="12566" max="12800" width="8.85546875" style="393" hidden="1"/>
    <col min="12801" max="12801" width="32.7109375" style="393" hidden="1" customWidth="1"/>
    <col min="12802" max="12803" width="12.140625" style="393" hidden="1" customWidth="1"/>
    <col min="12804" max="12804" width="12.85546875" style="393" hidden="1" customWidth="1"/>
    <col min="12805" max="12810" width="12.140625" style="393" hidden="1" customWidth="1"/>
    <col min="12811" max="12821" width="8.85546875" style="393" hidden="1" customWidth="1"/>
    <col min="12822" max="13056" width="8.85546875" style="393" hidden="1"/>
    <col min="13057" max="13057" width="32.7109375" style="393" hidden="1" customWidth="1"/>
    <col min="13058" max="13059" width="12.140625" style="393" hidden="1" customWidth="1"/>
    <col min="13060" max="13060" width="12.85546875" style="393" hidden="1" customWidth="1"/>
    <col min="13061" max="13066" width="12.140625" style="393" hidden="1" customWidth="1"/>
    <col min="13067" max="13077" width="8.85546875" style="393" hidden="1" customWidth="1"/>
    <col min="13078" max="13312" width="8.85546875" style="393" hidden="1"/>
    <col min="13313" max="13313" width="32.7109375" style="393" hidden="1" customWidth="1"/>
    <col min="13314" max="13315" width="12.140625" style="393" hidden="1" customWidth="1"/>
    <col min="13316" max="13316" width="12.85546875" style="393" hidden="1" customWidth="1"/>
    <col min="13317" max="13322" width="12.140625" style="393" hidden="1" customWidth="1"/>
    <col min="13323" max="13333" width="8.85546875" style="393" hidden="1" customWidth="1"/>
    <col min="13334" max="13568" width="8.85546875" style="393" hidden="1"/>
    <col min="13569" max="13569" width="32.7109375" style="393" hidden="1" customWidth="1"/>
    <col min="13570" max="13571" width="12.140625" style="393" hidden="1" customWidth="1"/>
    <col min="13572" max="13572" width="12.85546875" style="393" hidden="1" customWidth="1"/>
    <col min="13573" max="13578" width="12.140625" style="393" hidden="1" customWidth="1"/>
    <col min="13579" max="13589" width="8.85546875" style="393" hidden="1" customWidth="1"/>
    <col min="13590" max="13824" width="8.85546875" style="393" hidden="1"/>
    <col min="13825" max="13825" width="32.7109375" style="393" hidden="1" customWidth="1"/>
    <col min="13826" max="13827" width="12.140625" style="393" hidden="1" customWidth="1"/>
    <col min="13828" max="13828" width="12.85546875" style="393" hidden="1" customWidth="1"/>
    <col min="13829" max="13834" width="12.140625" style="393" hidden="1" customWidth="1"/>
    <col min="13835" max="13845" width="8.85546875" style="393" hidden="1" customWidth="1"/>
    <col min="13846" max="14080" width="8.85546875" style="393" hidden="1"/>
    <col min="14081" max="14081" width="32.7109375" style="393" hidden="1" customWidth="1"/>
    <col min="14082" max="14083" width="12.140625" style="393" hidden="1" customWidth="1"/>
    <col min="14084" max="14084" width="12.85546875" style="393" hidden="1" customWidth="1"/>
    <col min="14085" max="14090" width="12.140625" style="393" hidden="1" customWidth="1"/>
    <col min="14091" max="14101" width="8.85546875" style="393" hidden="1" customWidth="1"/>
    <col min="14102" max="14336" width="8.85546875" style="393" hidden="1"/>
    <col min="14337" max="14337" width="32.7109375" style="393" hidden="1" customWidth="1"/>
    <col min="14338" max="14339" width="12.140625" style="393" hidden="1" customWidth="1"/>
    <col min="14340" max="14340" width="12.85546875" style="393" hidden="1" customWidth="1"/>
    <col min="14341" max="14346" width="12.140625" style="393" hidden="1" customWidth="1"/>
    <col min="14347" max="14357" width="8.85546875" style="393" hidden="1" customWidth="1"/>
    <col min="14358" max="14592" width="8.85546875" style="393" hidden="1"/>
    <col min="14593" max="14593" width="32.7109375" style="393" hidden="1" customWidth="1"/>
    <col min="14594" max="14595" width="12.140625" style="393" hidden="1" customWidth="1"/>
    <col min="14596" max="14596" width="12.85546875" style="393" hidden="1" customWidth="1"/>
    <col min="14597" max="14602" width="12.140625" style="393" hidden="1" customWidth="1"/>
    <col min="14603" max="14613" width="8.85546875" style="393" hidden="1" customWidth="1"/>
    <col min="14614" max="14848" width="8.85546875" style="393" hidden="1"/>
    <col min="14849" max="14849" width="32.7109375" style="393" hidden="1" customWidth="1"/>
    <col min="14850" max="14851" width="12.140625" style="393" hidden="1" customWidth="1"/>
    <col min="14852" max="14852" width="12.85546875" style="393" hidden="1" customWidth="1"/>
    <col min="14853" max="14858" width="12.140625" style="393" hidden="1" customWidth="1"/>
    <col min="14859" max="14869" width="8.85546875" style="393" hidden="1" customWidth="1"/>
    <col min="14870" max="15104" width="8.85546875" style="393" hidden="1"/>
    <col min="15105" max="15105" width="32.7109375" style="393" hidden="1" customWidth="1"/>
    <col min="15106" max="15107" width="12.140625" style="393" hidden="1" customWidth="1"/>
    <col min="15108" max="15108" width="12.85546875" style="393" hidden="1" customWidth="1"/>
    <col min="15109" max="15114" width="12.140625" style="393" hidden="1" customWidth="1"/>
    <col min="15115" max="15125" width="8.85546875" style="393" hidden="1" customWidth="1"/>
    <col min="15126" max="15360" width="8.85546875" style="393" hidden="1"/>
    <col min="15361" max="15361" width="32.7109375" style="393" hidden="1" customWidth="1"/>
    <col min="15362" max="15363" width="12.140625" style="393" hidden="1" customWidth="1"/>
    <col min="15364" max="15364" width="12.85546875" style="393" hidden="1" customWidth="1"/>
    <col min="15365" max="15370" width="12.140625" style="393" hidden="1" customWidth="1"/>
    <col min="15371" max="15381" width="8.85546875" style="393" hidden="1" customWidth="1"/>
    <col min="15382" max="15616" width="8.85546875" style="393" hidden="1"/>
    <col min="15617" max="15617" width="32.7109375" style="393" hidden="1" customWidth="1"/>
    <col min="15618" max="15619" width="12.140625" style="393" hidden="1" customWidth="1"/>
    <col min="15620" max="15620" width="12.85546875" style="393" hidden="1" customWidth="1"/>
    <col min="15621" max="15626" width="12.140625" style="393" hidden="1" customWidth="1"/>
    <col min="15627" max="15637" width="8.85546875" style="393" hidden="1" customWidth="1"/>
    <col min="15638" max="15872" width="8.85546875" style="393" hidden="1"/>
    <col min="15873" max="15873" width="32.7109375" style="393" hidden="1" customWidth="1"/>
    <col min="15874" max="15875" width="12.140625" style="393" hidden="1" customWidth="1"/>
    <col min="15876" max="15876" width="12.85546875" style="393" hidden="1" customWidth="1"/>
    <col min="15877" max="15882" width="12.140625" style="393" hidden="1" customWidth="1"/>
    <col min="15883" max="15893" width="8.85546875" style="393" hidden="1" customWidth="1"/>
    <col min="15894" max="16128" width="8.85546875" style="393" hidden="1"/>
    <col min="16129" max="16129" width="32.7109375" style="393" hidden="1" customWidth="1"/>
    <col min="16130" max="16131" width="12.140625" style="393" hidden="1" customWidth="1"/>
    <col min="16132" max="16132" width="12.85546875" style="393" hidden="1" customWidth="1"/>
    <col min="16133" max="16138" width="12.140625" style="393" hidden="1" customWidth="1"/>
    <col min="16139" max="16149" width="8.85546875" style="393" hidden="1" customWidth="1"/>
    <col min="16150" max="16384" width="8.85546875" style="393" hidden="1"/>
  </cols>
  <sheetData>
    <row r="1" spans="1:11" s="356" customFormat="1" ht="12.75">
      <c r="A1" s="1871" t="s">
        <v>1226</v>
      </c>
      <c r="B1" s="1872"/>
      <c r="C1" s="1872"/>
      <c r="D1" s="1872"/>
      <c r="E1" s="1872"/>
      <c r="F1" s="1872"/>
      <c r="G1" s="1872"/>
      <c r="H1" s="1872"/>
      <c r="I1" s="1872"/>
      <c r="J1" s="1873"/>
      <c r="K1" s="355"/>
    </row>
    <row r="2" spans="1:11" s="401" customFormat="1" ht="72">
      <c r="A2" s="398"/>
      <c r="B2" s="399" t="s">
        <v>1026</v>
      </c>
      <c r="C2" s="399" t="s">
        <v>1228</v>
      </c>
      <c r="D2" s="399" t="s">
        <v>1229</v>
      </c>
      <c r="E2" s="399" t="s">
        <v>1157</v>
      </c>
      <c r="F2" s="399" t="s">
        <v>1230</v>
      </c>
      <c r="G2" s="399" t="s">
        <v>1231</v>
      </c>
      <c r="H2" s="399" t="s">
        <v>1027</v>
      </c>
      <c r="I2" s="399" t="s">
        <v>1232</v>
      </c>
      <c r="J2" s="399" t="s">
        <v>1233</v>
      </c>
      <c r="K2" s="400"/>
    </row>
    <row r="3" spans="1:11" s="360" customFormat="1">
      <c r="A3" s="357" t="s">
        <v>26</v>
      </c>
      <c r="B3" s="358"/>
      <c r="C3" s="358"/>
      <c r="D3" s="358"/>
      <c r="E3" s="358"/>
      <c r="F3" s="358"/>
      <c r="G3" s="358"/>
      <c r="H3" s="358"/>
      <c r="I3" s="358"/>
      <c r="J3" s="358"/>
      <c r="K3" s="359"/>
    </row>
    <row r="4" spans="1:11" s="360" customFormat="1">
      <c r="A4" s="364" t="s">
        <v>27</v>
      </c>
      <c r="B4" s="361">
        <f>'Sources and Uses Budget'!C4</f>
        <v>0</v>
      </c>
      <c r="C4" s="362"/>
      <c r="D4" s="362"/>
      <c r="E4" s="363"/>
      <c r="F4" s="363"/>
      <c r="G4" s="363"/>
      <c r="H4" s="363"/>
      <c r="I4" s="363"/>
      <c r="J4" s="363"/>
      <c r="K4" s="359"/>
    </row>
    <row r="5" spans="1:11" s="360" customFormat="1">
      <c r="A5" s="364" t="s">
        <v>28</v>
      </c>
      <c r="B5" s="361">
        <f>'Sources and Uses Budget'!C5</f>
        <v>0</v>
      </c>
      <c r="C5" s="362"/>
      <c r="D5" s="362"/>
      <c r="E5" s="363"/>
      <c r="F5" s="363"/>
      <c r="G5" s="363"/>
      <c r="H5" s="363"/>
      <c r="I5" s="363"/>
      <c r="J5" s="363"/>
      <c r="K5" s="359"/>
    </row>
    <row r="6" spans="1:11" s="360" customFormat="1">
      <c r="A6" s="364" t="s">
        <v>29</v>
      </c>
      <c r="B6" s="361">
        <f>'Sources and Uses Budget'!C6</f>
        <v>296251</v>
      </c>
      <c r="C6" s="362"/>
      <c r="D6" s="362"/>
      <c r="E6" s="363"/>
      <c r="F6" s="363"/>
      <c r="G6" s="363"/>
      <c r="H6" s="363"/>
      <c r="I6" s="363"/>
      <c r="J6" s="363"/>
      <c r="K6" s="359"/>
    </row>
    <row r="7" spans="1:11" s="360" customFormat="1">
      <c r="A7" s="364" t="s">
        <v>97</v>
      </c>
      <c r="B7" s="361">
        <f>'Sources and Uses Budget'!C7</f>
        <v>0</v>
      </c>
      <c r="C7" s="362"/>
      <c r="D7" s="362"/>
      <c r="E7" s="363"/>
      <c r="F7" s="363"/>
      <c r="G7" s="363"/>
      <c r="H7" s="363"/>
      <c r="I7" s="363"/>
      <c r="J7" s="363"/>
      <c r="K7" s="359"/>
    </row>
    <row r="8" spans="1:11" s="360" customFormat="1">
      <c r="A8" s="365" t="s">
        <v>593</v>
      </c>
      <c r="B8" s="361">
        <f>'Sources and Uses Budget'!C8</f>
        <v>296251</v>
      </c>
      <c r="C8" s="361">
        <f>SUM(C4:C7)</f>
        <v>0</v>
      </c>
      <c r="D8" s="361">
        <f>SUM(D4:D7)</f>
        <v>0</v>
      </c>
      <c r="E8" s="363"/>
      <c r="F8" s="363"/>
      <c r="G8" s="363"/>
      <c r="H8" s="363"/>
      <c r="I8" s="363"/>
      <c r="J8" s="363"/>
      <c r="K8" s="359"/>
    </row>
    <row r="9" spans="1:11" s="360" customFormat="1">
      <c r="A9" s="364" t="s">
        <v>594</v>
      </c>
      <c r="B9" s="361">
        <f>'Sources and Uses Budget'!C9</f>
        <v>0</v>
      </c>
      <c r="C9" s="362"/>
      <c r="D9" s="362"/>
      <c r="E9" s="363"/>
      <c r="F9" s="363"/>
      <c r="G9" s="363"/>
      <c r="H9" s="361">
        <f>'Sources and Uses Budget'!T9</f>
        <v>0</v>
      </c>
      <c r="I9" s="362"/>
      <c r="J9" s="362"/>
      <c r="K9" s="359"/>
    </row>
    <row r="10" spans="1:11" s="360" customFormat="1">
      <c r="A10" s="364" t="s">
        <v>595</v>
      </c>
      <c r="B10" s="361">
        <f>'Sources and Uses Budget'!C10</f>
        <v>0</v>
      </c>
      <c r="C10" s="362"/>
      <c r="D10" s="362"/>
      <c r="E10" s="361">
        <f>'Sources and Uses Budget'!S10</f>
        <v>0</v>
      </c>
      <c r="F10" s="362"/>
      <c r="G10" s="362"/>
      <c r="H10" s="361">
        <f>'Sources and Uses Budget'!T10</f>
        <v>0</v>
      </c>
      <c r="I10" s="362"/>
      <c r="J10" s="362"/>
      <c r="K10" s="359"/>
    </row>
    <row r="11" spans="1:11" s="360" customFormat="1">
      <c r="A11" s="365" t="s">
        <v>596</v>
      </c>
      <c r="B11" s="361">
        <f>'Sources and Uses Budget'!C11</f>
        <v>0</v>
      </c>
      <c r="C11" s="361">
        <f>SUM(C9:C10)</f>
        <v>0</v>
      </c>
      <c r="D11" s="361">
        <f>SUM(D9:D10)</f>
        <v>0</v>
      </c>
      <c r="E11" s="363"/>
      <c r="F11" s="363"/>
      <c r="G11" s="363"/>
      <c r="H11" s="361">
        <f>'Sources and Uses Budget'!T11</f>
        <v>0</v>
      </c>
      <c r="I11" s="361">
        <f>SUM(I9:I10)</f>
        <v>0</v>
      </c>
      <c r="J11" s="361">
        <f>SUM(J9:J10)</f>
        <v>0</v>
      </c>
      <c r="K11" s="359"/>
    </row>
    <row r="12" spans="1:11" s="360" customFormat="1">
      <c r="A12" s="365" t="s">
        <v>84</v>
      </c>
      <c r="B12" s="361">
        <f>'Sources and Uses Budget'!C12</f>
        <v>296251</v>
      </c>
      <c r="C12" s="361">
        <f>SUM(C8+C11)</f>
        <v>0</v>
      </c>
      <c r="D12" s="361">
        <f>SUM(D8+D11)</f>
        <v>0</v>
      </c>
      <c r="E12" s="363"/>
      <c r="F12" s="363"/>
      <c r="G12" s="363"/>
      <c r="H12" s="363"/>
      <c r="I12" s="363"/>
      <c r="J12" s="363"/>
      <c r="K12" s="359"/>
    </row>
    <row r="13" spans="1:11" s="360" customFormat="1">
      <c r="A13" s="366" t="s">
        <v>902</v>
      </c>
      <c r="B13" s="361">
        <f>'Sources and Uses Budget'!C13</f>
        <v>0</v>
      </c>
      <c r="C13" s="362"/>
      <c r="D13" s="362"/>
      <c r="E13" s="361">
        <f>'Sources and Uses Budget'!S13</f>
        <v>0</v>
      </c>
      <c r="F13" s="362"/>
      <c r="G13" s="362"/>
      <c r="H13" s="361">
        <f>'Sources and Uses Budget'!T13</f>
        <v>0</v>
      </c>
      <c r="I13" s="362"/>
      <c r="J13" s="362"/>
      <c r="K13" s="359"/>
    </row>
    <row r="14" spans="1:11" s="360" customFormat="1" ht="24">
      <c r="A14" s="364" t="s">
        <v>903</v>
      </c>
      <c r="B14" s="361">
        <f>'Sources and Uses Budget'!C14</f>
        <v>0</v>
      </c>
      <c r="C14" s="362"/>
      <c r="D14" s="362"/>
      <c r="E14" s="361">
        <f>'Sources and Uses Budget'!S14</f>
        <v>0</v>
      </c>
      <c r="F14" s="362"/>
      <c r="G14" s="362"/>
      <c r="H14" s="361">
        <f>'Sources and Uses Budget'!T14</f>
        <v>0</v>
      </c>
      <c r="I14" s="362"/>
      <c r="J14" s="362"/>
      <c r="K14" s="359"/>
    </row>
    <row r="15" spans="1:11" s="360" customFormat="1">
      <c r="A15" s="364" t="s">
        <v>1160</v>
      </c>
      <c r="B15" s="361">
        <f>'Sources and Uses Budget'!C15</f>
        <v>0</v>
      </c>
      <c r="C15" s="362"/>
      <c r="D15" s="362"/>
      <c r="E15" s="363">
        <f>'Sources and Uses Budget'!S15</f>
        <v>0</v>
      </c>
      <c r="F15" s="363"/>
      <c r="G15" s="363"/>
      <c r="H15" s="363">
        <f>'Sources and Uses Budget'!T15</f>
        <v>0</v>
      </c>
      <c r="I15" s="363"/>
      <c r="J15" s="363"/>
      <c r="K15" s="359"/>
    </row>
    <row r="16" spans="1:11" s="360" customFormat="1">
      <c r="A16" s="357" t="s">
        <v>597</v>
      </c>
      <c r="B16" s="358"/>
      <c r="C16" s="358"/>
      <c r="D16" s="358"/>
      <c r="E16" s="358"/>
      <c r="F16" s="358"/>
      <c r="G16" s="358"/>
      <c r="H16" s="358"/>
      <c r="I16" s="358"/>
      <c r="J16" s="358"/>
      <c r="K16" s="359"/>
    </row>
    <row r="17" spans="1:11" s="360" customFormat="1">
      <c r="A17" s="364" t="s">
        <v>598</v>
      </c>
      <c r="B17" s="361">
        <f>'Sources and Uses Budget'!C17</f>
        <v>0</v>
      </c>
      <c r="C17" s="362"/>
      <c r="D17" s="362"/>
      <c r="E17" s="361">
        <f>'Sources and Uses Budget'!S17</f>
        <v>0</v>
      </c>
      <c r="F17" s="362"/>
      <c r="G17" s="362"/>
      <c r="H17" s="361">
        <f>'Sources and Uses Budget'!T17</f>
        <v>0</v>
      </c>
      <c r="I17" s="362"/>
      <c r="J17" s="362"/>
      <c r="K17" s="359"/>
    </row>
    <row r="18" spans="1:11" s="360" customFormat="1">
      <c r="A18" s="364" t="s">
        <v>599</v>
      </c>
      <c r="B18" s="361">
        <f>'Sources and Uses Budget'!C18</f>
        <v>0</v>
      </c>
      <c r="C18" s="362"/>
      <c r="D18" s="362"/>
      <c r="E18" s="361">
        <f>'Sources and Uses Budget'!S18</f>
        <v>0</v>
      </c>
      <c r="F18" s="362"/>
      <c r="G18" s="362"/>
      <c r="H18" s="361">
        <f>'Sources and Uses Budget'!T18</f>
        <v>0</v>
      </c>
      <c r="I18" s="362"/>
      <c r="J18" s="362"/>
      <c r="K18" s="359"/>
    </row>
    <row r="19" spans="1:11" s="360" customFormat="1">
      <c r="A19" s="364" t="s">
        <v>600</v>
      </c>
      <c r="B19" s="361">
        <f>'Sources and Uses Budget'!C19</f>
        <v>0</v>
      </c>
      <c r="C19" s="362"/>
      <c r="D19" s="362"/>
      <c r="E19" s="361">
        <f>'Sources and Uses Budget'!S19</f>
        <v>0</v>
      </c>
      <c r="F19" s="362"/>
      <c r="G19" s="362"/>
      <c r="H19" s="361">
        <f>'Sources and Uses Budget'!T19</f>
        <v>0</v>
      </c>
      <c r="I19" s="362"/>
      <c r="J19" s="362"/>
      <c r="K19" s="359"/>
    </row>
    <row r="20" spans="1:11" s="360" customFormat="1">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c r="A24" s="508" t="s">
        <v>1639</v>
      </c>
      <c r="B24" s="361">
        <f>'Sources and Uses Budget'!C24</f>
        <v>0</v>
      </c>
      <c r="C24" s="362"/>
      <c r="D24" s="362"/>
      <c r="E24" s="361">
        <f>'Sources and Uses Budget'!S24</f>
        <v>0</v>
      </c>
      <c r="F24" s="362"/>
      <c r="G24" s="362"/>
      <c r="H24" s="361">
        <f>'Sources and Uses Budget'!T24</f>
        <v>0</v>
      </c>
      <c r="I24" s="362"/>
      <c r="J24" s="362"/>
      <c r="K24" s="359"/>
    </row>
    <row r="25" spans="1:11" s="360" customFormat="1">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0</v>
      </c>
      <c r="C27" s="362"/>
      <c r="D27" s="362"/>
      <c r="E27" s="361">
        <f>'Sources and Uses Budget'!S27</f>
        <v>0</v>
      </c>
      <c r="F27" s="362"/>
      <c r="G27" s="362"/>
      <c r="H27" s="361">
        <f>'Sources and Uses Budget'!T27</f>
        <v>0</v>
      </c>
      <c r="I27" s="362"/>
      <c r="J27" s="362"/>
      <c r="K27" s="359"/>
    </row>
    <row r="28" spans="1:11" s="360" customFormat="1">
      <c r="A28" s="357" t="s">
        <v>142</v>
      </c>
      <c r="B28" s="358"/>
      <c r="C28" s="358"/>
      <c r="D28" s="358"/>
      <c r="E28" s="358"/>
      <c r="F28" s="358"/>
      <c r="G28" s="358"/>
      <c r="H28" s="358"/>
      <c r="I28" s="358"/>
      <c r="J28" s="358"/>
      <c r="K28" s="359"/>
    </row>
    <row r="29" spans="1:11" s="360" customFormat="1">
      <c r="A29" s="145" t="s">
        <v>598</v>
      </c>
      <c r="B29" s="361">
        <f>'Sources and Uses Budget'!C29</f>
        <v>1221882</v>
      </c>
      <c r="C29" s="362"/>
      <c r="D29" s="362"/>
      <c r="E29" s="361">
        <f>'Sources and Uses Budget'!S29</f>
        <v>1212962</v>
      </c>
      <c r="F29" s="362"/>
      <c r="G29" s="362"/>
      <c r="H29" s="361">
        <f>'Sources and Uses Budget'!T29</f>
        <v>0</v>
      </c>
      <c r="I29" s="362"/>
      <c r="J29" s="362"/>
      <c r="K29" s="359"/>
    </row>
    <row r="30" spans="1:11" s="360" customFormat="1">
      <c r="A30" s="145" t="s">
        <v>599</v>
      </c>
      <c r="B30" s="361">
        <f>'Sources and Uses Budget'!C30</f>
        <v>47653416</v>
      </c>
      <c r="C30" s="362"/>
      <c r="D30" s="362"/>
      <c r="E30" s="361">
        <f>'Sources and Uses Budget'!S30</f>
        <v>47303416</v>
      </c>
      <c r="F30" s="362"/>
      <c r="G30" s="362"/>
      <c r="H30" s="361">
        <f>'Sources and Uses Budget'!T30</f>
        <v>0</v>
      </c>
      <c r="I30" s="362"/>
      <c r="J30" s="362"/>
      <c r="K30" s="359"/>
    </row>
    <row r="31" spans="1:11" s="360" customFormat="1">
      <c r="A31" s="145" t="s">
        <v>600</v>
      </c>
      <c r="B31" s="361">
        <f>'Sources and Uses Budget'!C31</f>
        <v>1221882</v>
      </c>
      <c r="C31" s="362"/>
      <c r="D31" s="362"/>
      <c r="E31" s="361">
        <f>'Sources and Uses Budget'!S31</f>
        <v>1212962</v>
      </c>
      <c r="F31" s="362"/>
      <c r="G31" s="362"/>
      <c r="H31" s="361">
        <f>'Sources and Uses Budget'!T31</f>
        <v>0</v>
      </c>
      <c r="I31" s="362"/>
      <c r="J31" s="362"/>
      <c r="K31" s="359"/>
    </row>
    <row r="32" spans="1:11" s="360" customFormat="1">
      <c r="A32" s="145" t="s">
        <v>137</v>
      </c>
      <c r="B32" s="361">
        <f>'Sources and Uses Budget'!C32</f>
        <v>1001944</v>
      </c>
      <c r="C32" s="362"/>
      <c r="D32" s="362"/>
      <c r="E32" s="361">
        <f>'Sources and Uses Budget'!S32</f>
        <v>994630</v>
      </c>
      <c r="F32" s="362"/>
      <c r="G32" s="362"/>
      <c r="H32" s="361">
        <f>'Sources and Uses Budget'!T32</f>
        <v>0</v>
      </c>
      <c r="I32" s="362"/>
      <c r="J32" s="362"/>
      <c r="K32" s="359"/>
    </row>
    <row r="33" spans="1:11" s="360" customFormat="1">
      <c r="A33" s="145" t="s">
        <v>138</v>
      </c>
      <c r="B33" s="361">
        <f>'Sources and Uses Budget'!C33</f>
        <v>1277478</v>
      </c>
      <c r="C33" s="362"/>
      <c r="D33" s="362"/>
      <c r="E33" s="361">
        <f>'Sources and Uses Budget'!S33</f>
        <v>1268152</v>
      </c>
      <c r="F33" s="362"/>
      <c r="G33" s="362"/>
      <c r="H33" s="361">
        <f>'Sources and Uses Budget'!T33</f>
        <v>0</v>
      </c>
      <c r="I33" s="362"/>
      <c r="J33" s="362"/>
      <c r="K33" s="359"/>
    </row>
    <row r="34" spans="1:11" s="360" customFormat="1">
      <c r="A34" s="145" t="s">
        <v>139</v>
      </c>
      <c r="B34" s="361">
        <f>'Sources and Uses Budget'!C34</f>
        <v>0</v>
      </c>
      <c r="C34" s="362"/>
      <c r="D34" s="362"/>
      <c r="E34" s="361">
        <f>'Sources and Uses Budget'!S34</f>
        <v>0</v>
      </c>
      <c r="F34" s="362"/>
      <c r="G34" s="362"/>
      <c r="H34" s="361">
        <f>'Sources and Uses Budget'!T34</f>
        <v>0</v>
      </c>
      <c r="I34" s="362"/>
      <c r="J34" s="362"/>
      <c r="K34" s="359"/>
    </row>
    <row r="35" spans="1:11" s="360" customFormat="1">
      <c r="A35" s="145" t="s">
        <v>140</v>
      </c>
      <c r="B35" s="361">
        <f>'Sources and Uses Budget'!C35</f>
        <v>1001944</v>
      </c>
      <c r="C35" s="362"/>
      <c r="D35" s="362"/>
      <c r="E35" s="361">
        <f>'Sources and Uses Budget'!S35</f>
        <v>994630</v>
      </c>
      <c r="F35" s="362"/>
      <c r="G35" s="362"/>
      <c r="H35" s="361">
        <f>'Sources and Uses Budget'!T35</f>
        <v>0</v>
      </c>
      <c r="I35" s="362"/>
      <c r="J35" s="362"/>
      <c r="K35" s="359"/>
    </row>
    <row r="36" spans="1:11" s="360" customFormat="1">
      <c r="A36" s="508" t="s">
        <v>1639</v>
      </c>
      <c r="B36" s="361">
        <f>'Sources and Uses Budget'!C36</f>
        <v>0</v>
      </c>
      <c r="C36" s="362"/>
      <c r="D36" s="362"/>
      <c r="E36" s="361">
        <f>'Sources and Uses Budget'!S36</f>
        <v>0</v>
      </c>
      <c r="F36" s="362"/>
      <c r="G36" s="362"/>
      <c r="H36" s="361">
        <f>'Sources and Uses Budget'!T36</f>
        <v>0</v>
      </c>
      <c r="I36" s="362"/>
      <c r="J36" s="362"/>
      <c r="K36" s="359"/>
    </row>
    <row r="37" spans="1:11" s="360" customFormat="1">
      <c r="A37" s="364" t="str">
        <f>'Sources and Uses Budget'!$A37</f>
        <v>Other: (Specify)</v>
      </c>
      <c r="B37" s="361">
        <f>'Sources and Uses Budget'!C37</f>
        <v>0</v>
      </c>
      <c r="C37" s="362"/>
      <c r="D37" s="362"/>
      <c r="E37" s="361">
        <f>'Sources and Uses Budget'!S37</f>
        <v>0</v>
      </c>
      <c r="F37" s="362"/>
      <c r="G37" s="362"/>
      <c r="H37" s="361">
        <f>'Sources and Uses Budget'!T37</f>
        <v>0</v>
      </c>
      <c r="I37" s="362"/>
      <c r="J37" s="362"/>
      <c r="K37" s="359"/>
    </row>
    <row r="38" spans="1:11" s="360" customFormat="1">
      <c r="A38" s="365" t="s">
        <v>143</v>
      </c>
      <c r="B38" s="361">
        <f>'Sources and Uses Budget'!C38</f>
        <v>53378546</v>
      </c>
      <c r="C38" s="361">
        <f>SUM(C29:C37)</f>
        <v>0</v>
      </c>
      <c r="D38" s="361">
        <f>SUM(D29:D37)</f>
        <v>0</v>
      </c>
      <c r="E38" s="361">
        <f>'Sources and Uses Budget'!S38</f>
        <v>52986752</v>
      </c>
      <c r="F38" s="367">
        <f>SUM(F29:F37)</f>
        <v>0</v>
      </c>
      <c r="G38" s="367">
        <f>SUM(G29:G37)</f>
        <v>0</v>
      </c>
      <c r="H38" s="361">
        <f>'Sources and Uses Budget'!T38</f>
        <v>0</v>
      </c>
      <c r="I38" s="367">
        <f>SUM(I29:I37)</f>
        <v>0</v>
      </c>
      <c r="J38" s="367">
        <f>SUM(J29:J37)</f>
        <v>0</v>
      </c>
      <c r="K38" s="359"/>
    </row>
    <row r="39" spans="1:11" s="360" customFormat="1">
      <c r="A39" s="357" t="s">
        <v>144</v>
      </c>
      <c r="B39" s="358"/>
      <c r="C39" s="358"/>
      <c r="D39" s="358"/>
      <c r="E39" s="358"/>
      <c r="F39" s="358"/>
      <c r="G39" s="358"/>
      <c r="H39" s="358"/>
      <c r="I39" s="358"/>
      <c r="J39" s="358"/>
      <c r="K39" s="359"/>
    </row>
    <row r="40" spans="1:11" s="360" customFormat="1">
      <c r="A40" s="364" t="s">
        <v>145</v>
      </c>
      <c r="B40" s="361">
        <f>'Sources and Uses Budget'!C40</f>
        <v>3243701</v>
      </c>
      <c r="C40" s="362"/>
      <c r="D40" s="362"/>
      <c r="E40" s="361">
        <f>'Sources and Uses Budget'!S40</f>
        <v>3243701</v>
      </c>
      <c r="F40" s="362"/>
      <c r="G40" s="362"/>
      <c r="H40" s="361">
        <f>'Sources and Uses Budget'!T40</f>
        <v>0</v>
      </c>
      <c r="I40" s="362"/>
      <c r="J40" s="362"/>
      <c r="K40" s="359"/>
    </row>
    <row r="41" spans="1:11" s="360" customFormat="1">
      <c r="A41" s="364" t="s">
        <v>146</v>
      </c>
      <c r="B41" s="361">
        <f>'Sources and Uses Budget'!C41</f>
        <v>303550</v>
      </c>
      <c r="C41" s="362"/>
      <c r="D41" s="362"/>
      <c r="E41" s="361">
        <f>'Sources and Uses Budget'!S41</f>
        <v>303550</v>
      </c>
      <c r="F41" s="362"/>
      <c r="G41" s="362"/>
      <c r="H41" s="361">
        <f>'Sources and Uses Budget'!T41</f>
        <v>0</v>
      </c>
      <c r="I41" s="362"/>
      <c r="J41" s="362"/>
      <c r="K41" s="359"/>
    </row>
    <row r="42" spans="1:11" s="360" customFormat="1">
      <c r="A42" s="365" t="s">
        <v>147</v>
      </c>
      <c r="B42" s="361">
        <f>'Sources and Uses Budget'!C42</f>
        <v>3547251</v>
      </c>
      <c r="C42" s="361">
        <f>SUM(C39:C41)</f>
        <v>0</v>
      </c>
      <c r="D42" s="361">
        <f>SUM(D39:D41)</f>
        <v>0</v>
      </c>
      <c r="E42" s="361">
        <f>'Sources and Uses Budget'!S42</f>
        <v>3547251</v>
      </c>
      <c r="F42" s="367">
        <f>SUM(F40:F41)</f>
        <v>0</v>
      </c>
      <c r="G42" s="367">
        <f>SUM(G40:G41)</f>
        <v>0</v>
      </c>
      <c r="H42" s="361">
        <f>'Sources and Uses Budget'!T42</f>
        <v>0</v>
      </c>
      <c r="I42" s="367">
        <f>SUM(I40:I41)</f>
        <v>0</v>
      </c>
      <c r="J42" s="367">
        <f>SUM(J40:J41)</f>
        <v>0</v>
      </c>
      <c r="K42" s="359"/>
    </row>
    <row r="43" spans="1:11" s="360" customFormat="1">
      <c r="A43" s="365" t="s">
        <v>148</v>
      </c>
      <c r="B43" s="361">
        <f>'Sources and Uses Budget'!C43</f>
        <v>0</v>
      </c>
      <c r="C43" s="362"/>
      <c r="D43" s="362"/>
      <c r="E43" s="361">
        <f>'Sources and Uses Budget'!S43</f>
        <v>0</v>
      </c>
      <c r="F43" s="362"/>
      <c r="G43" s="362"/>
      <c r="H43" s="361">
        <f>'Sources and Uses Budget'!T43</f>
        <v>0</v>
      </c>
      <c r="I43" s="362"/>
      <c r="J43" s="362"/>
      <c r="K43" s="359"/>
    </row>
    <row r="44" spans="1:11" s="360" customFormat="1">
      <c r="A44" s="357" t="s">
        <v>149</v>
      </c>
      <c r="B44" s="358"/>
      <c r="C44" s="358"/>
      <c r="D44" s="358"/>
      <c r="E44" s="358"/>
      <c r="F44" s="358"/>
      <c r="G44" s="358"/>
      <c r="H44" s="358"/>
      <c r="I44" s="358"/>
      <c r="J44" s="358"/>
      <c r="K44" s="359"/>
    </row>
    <row r="45" spans="1:11" s="360" customFormat="1">
      <c r="A45" s="364" t="s">
        <v>150</v>
      </c>
      <c r="B45" s="361">
        <f>'Sources and Uses Budget'!C45</f>
        <v>6626210</v>
      </c>
      <c r="C45" s="362"/>
      <c r="D45" s="362"/>
      <c r="E45" s="361">
        <f>'Sources and Uses Budget'!S45</f>
        <v>4859220</v>
      </c>
      <c r="F45" s="362"/>
      <c r="G45" s="362"/>
      <c r="H45" s="361">
        <f>'Sources and Uses Budget'!T45</f>
        <v>0</v>
      </c>
      <c r="I45" s="362"/>
      <c r="J45" s="362"/>
      <c r="K45" s="359"/>
    </row>
    <row r="46" spans="1:11" s="360" customFormat="1">
      <c r="A46" s="364" t="s">
        <v>151</v>
      </c>
      <c r="B46" s="361">
        <f>'Sources and Uses Budget'!C46</f>
        <v>450000</v>
      </c>
      <c r="C46" s="362"/>
      <c r="D46" s="362"/>
      <c r="E46" s="361">
        <f>'Sources and Uses Budget'!S46</f>
        <v>206882</v>
      </c>
      <c r="F46" s="362"/>
      <c r="G46" s="362"/>
      <c r="H46" s="361">
        <f>'Sources and Uses Budget'!T46</f>
        <v>0</v>
      </c>
      <c r="I46" s="362"/>
      <c r="J46" s="362"/>
      <c r="K46" s="359"/>
    </row>
    <row r="47" spans="1:11" s="360" customFormat="1" ht="12" customHeight="1">
      <c r="A47" s="364" t="s">
        <v>152</v>
      </c>
      <c r="B47" s="361">
        <f>'Sources and Uses Budget'!C47</f>
        <v>35000</v>
      </c>
      <c r="C47" s="362"/>
      <c r="D47" s="362"/>
      <c r="E47" s="361">
        <f>'Sources and Uses Budget'!S47</f>
        <v>35000</v>
      </c>
      <c r="F47" s="362"/>
      <c r="G47" s="362"/>
      <c r="H47" s="361">
        <f>'Sources and Uses Budget'!T47</f>
        <v>0</v>
      </c>
      <c r="I47" s="362"/>
      <c r="J47" s="362"/>
      <c r="K47" s="359"/>
    </row>
    <row r="48" spans="1:11" s="360" customFormat="1">
      <c r="A48" s="364" t="s">
        <v>153</v>
      </c>
      <c r="B48" s="361">
        <f>'Sources and Uses Budget'!C48</f>
        <v>112500</v>
      </c>
      <c r="C48" s="362"/>
      <c r="D48" s="362"/>
      <c r="E48" s="361">
        <f>'Sources and Uses Budget'!S48</f>
        <v>112500</v>
      </c>
      <c r="F48" s="362"/>
      <c r="G48" s="362"/>
      <c r="H48" s="361">
        <f>'Sources and Uses Budget'!T48</f>
        <v>0</v>
      </c>
      <c r="I48" s="362"/>
      <c r="J48" s="362"/>
      <c r="K48" s="359"/>
    </row>
    <row r="49" spans="1:11" s="360" customFormat="1">
      <c r="A49" s="283" t="s">
        <v>57</v>
      </c>
      <c r="B49" s="361">
        <f>'Sources and Uses Budget'!C49</f>
        <v>155500</v>
      </c>
      <c r="C49" s="362"/>
      <c r="D49" s="362"/>
      <c r="E49" s="361">
        <f>'Sources and Uses Budget'!S49</f>
        <v>71489</v>
      </c>
      <c r="F49" s="362"/>
      <c r="G49" s="362"/>
      <c r="H49" s="361">
        <f>'Sources and Uses Budget'!T49</f>
        <v>0</v>
      </c>
      <c r="I49" s="362"/>
      <c r="J49" s="362"/>
      <c r="K49" s="359"/>
    </row>
    <row r="50" spans="1:11" s="360" customFormat="1">
      <c r="A50" s="364" t="s">
        <v>156</v>
      </c>
      <c r="B50" s="361">
        <f>'Sources and Uses Budget'!C50</f>
        <v>300000</v>
      </c>
      <c r="C50" s="362"/>
      <c r="D50" s="362"/>
      <c r="E50" s="361">
        <f>'Sources and Uses Budget'!S50</f>
        <v>300000</v>
      </c>
      <c r="F50" s="362"/>
      <c r="G50" s="362"/>
      <c r="H50" s="361">
        <f>'Sources and Uses Budget'!T50</f>
        <v>0</v>
      </c>
      <c r="I50" s="362"/>
      <c r="J50" s="362"/>
      <c r="K50" s="359"/>
    </row>
    <row r="51" spans="1:11" s="360" customFormat="1">
      <c r="A51" s="364" t="s">
        <v>154</v>
      </c>
      <c r="B51" s="361">
        <f>'Sources and Uses Budget'!C51</f>
        <v>0</v>
      </c>
      <c r="C51" s="362"/>
      <c r="D51" s="362"/>
      <c r="E51" s="361">
        <f>'Sources and Uses Budget'!S51</f>
        <v>0</v>
      </c>
      <c r="F51" s="362"/>
      <c r="G51" s="362"/>
      <c r="H51" s="361">
        <f>'Sources and Uses Budget'!T51</f>
        <v>0</v>
      </c>
      <c r="I51" s="362"/>
      <c r="J51" s="362"/>
      <c r="K51" s="359"/>
    </row>
    <row r="52" spans="1:11" s="360" customFormat="1">
      <c r="A52" s="364" t="s">
        <v>155</v>
      </c>
      <c r="B52" s="361">
        <f>'Sources and Uses Budget'!C52</f>
        <v>1668971</v>
      </c>
      <c r="C52" s="362"/>
      <c r="D52" s="362"/>
      <c r="E52" s="361">
        <f>'Sources and Uses Budget'!S52</f>
        <v>1668971</v>
      </c>
      <c r="F52" s="362"/>
      <c r="G52" s="362"/>
      <c r="H52" s="361">
        <f>'Sources and Uses Budget'!T52</f>
        <v>0</v>
      </c>
      <c r="I52" s="362"/>
      <c r="J52" s="362"/>
      <c r="K52" s="359"/>
    </row>
    <row r="53" spans="1:11" s="360" customFormat="1">
      <c r="A53" s="364" t="str">
        <f>'Sources and Uses Budget'!$A53</f>
        <v>Other: Cost of Issuance Contingency</v>
      </c>
      <c r="B53" s="361">
        <f>'Sources and Uses Budget'!C53</f>
        <v>1000000</v>
      </c>
      <c r="C53" s="362"/>
      <c r="D53" s="362"/>
      <c r="E53" s="361">
        <f>'Sources and Uses Budget'!S53</f>
        <v>0</v>
      </c>
      <c r="F53" s="362"/>
      <c r="G53" s="362"/>
      <c r="H53" s="361">
        <f>'Sources and Uses Budget'!T53</f>
        <v>0</v>
      </c>
      <c r="I53" s="362"/>
      <c r="J53" s="362"/>
      <c r="K53" s="359"/>
    </row>
    <row r="54" spans="1:11" s="369" customFormat="1">
      <c r="A54" s="365" t="s">
        <v>157</v>
      </c>
      <c r="B54" s="361">
        <f>'Sources and Uses Budget'!C54</f>
        <v>10348181</v>
      </c>
      <c r="C54" s="367">
        <f>SUM(C45:C53)</f>
        <v>0</v>
      </c>
      <c r="D54" s="367">
        <f>SUM(D45:D53)</f>
        <v>0</v>
      </c>
      <c r="E54" s="361">
        <f>'Sources and Uses Budget'!S54</f>
        <v>7254062</v>
      </c>
      <c r="F54" s="367">
        <f>SUM(F45:F53)</f>
        <v>0</v>
      </c>
      <c r="G54" s="367">
        <f>SUM(G45:G53)</f>
        <v>0</v>
      </c>
      <c r="H54" s="361">
        <f>'Sources and Uses Budget'!T54</f>
        <v>0</v>
      </c>
      <c r="I54" s="367">
        <f>SUM(I45:I53)</f>
        <v>0</v>
      </c>
      <c r="J54" s="367">
        <f>SUM(J45:J53)</f>
        <v>0</v>
      </c>
      <c r="K54" s="368"/>
    </row>
    <row r="55" spans="1:11" s="360" customFormat="1">
      <c r="A55" s="357" t="s">
        <v>417</v>
      </c>
      <c r="B55" s="358"/>
      <c r="C55" s="358"/>
      <c r="D55" s="358"/>
      <c r="E55" s="358"/>
      <c r="F55" s="358"/>
      <c r="G55" s="358"/>
      <c r="H55" s="358"/>
      <c r="I55" s="358"/>
      <c r="J55" s="358"/>
      <c r="K55" s="359"/>
    </row>
    <row r="56" spans="1:11" s="360" customFormat="1">
      <c r="A56" s="364" t="s">
        <v>158</v>
      </c>
      <c r="B56" s="361">
        <f>'Sources and Uses Budget'!C56</f>
        <v>0</v>
      </c>
      <c r="C56" s="362"/>
      <c r="D56" s="362"/>
      <c r="E56" s="363"/>
      <c r="F56" s="363"/>
      <c r="G56" s="363"/>
      <c r="H56" s="363"/>
      <c r="I56" s="363"/>
      <c r="J56" s="363"/>
      <c r="K56" s="359"/>
    </row>
    <row r="57" spans="1:11" s="360" customFormat="1" ht="12" customHeight="1">
      <c r="A57" s="364" t="s">
        <v>152</v>
      </c>
      <c r="B57" s="361">
        <f>'Sources and Uses Budget'!C57</f>
        <v>0</v>
      </c>
      <c r="C57" s="362"/>
      <c r="D57" s="362"/>
      <c r="E57" s="363"/>
      <c r="F57" s="363"/>
      <c r="G57" s="363"/>
      <c r="H57" s="363"/>
      <c r="I57" s="363"/>
      <c r="J57" s="363"/>
      <c r="K57" s="359"/>
    </row>
    <row r="58" spans="1:11" s="360" customFormat="1">
      <c r="A58" s="364" t="s">
        <v>156</v>
      </c>
      <c r="B58" s="361">
        <f>'Sources and Uses Budget'!C58</f>
        <v>0</v>
      </c>
      <c r="C58" s="362"/>
      <c r="D58" s="362"/>
      <c r="E58" s="363"/>
      <c r="F58" s="363"/>
      <c r="G58" s="363"/>
      <c r="H58" s="363"/>
      <c r="I58" s="363"/>
      <c r="J58" s="363"/>
      <c r="K58" s="359"/>
    </row>
    <row r="59" spans="1:11" s="360" customFormat="1">
      <c r="A59" s="364" t="s">
        <v>154</v>
      </c>
      <c r="B59" s="361">
        <f>'Sources and Uses Budget'!C59</f>
        <v>0</v>
      </c>
      <c r="C59" s="362"/>
      <c r="D59" s="362"/>
      <c r="E59" s="363"/>
      <c r="F59" s="363"/>
      <c r="G59" s="363"/>
      <c r="H59" s="363"/>
      <c r="I59" s="363"/>
      <c r="J59" s="363"/>
      <c r="K59" s="359"/>
    </row>
    <row r="60" spans="1:11" s="360" customFormat="1">
      <c r="A60" s="364" t="s">
        <v>155</v>
      </c>
      <c r="B60" s="361">
        <f>'Sources and Uses Budget'!C60</f>
        <v>0</v>
      </c>
      <c r="C60" s="362"/>
      <c r="D60" s="362"/>
      <c r="E60" s="363"/>
      <c r="F60" s="363"/>
      <c r="G60" s="363"/>
      <c r="H60" s="363"/>
      <c r="I60" s="363"/>
      <c r="J60" s="363"/>
      <c r="K60" s="359"/>
    </row>
    <row r="61" spans="1:11" s="360" customFormat="1">
      <c r="A61" s="364" t="str">
        <f>'Sources and Uses Budget'!$A61</f>
        <v>Other: Ground Lease Monitoring Fee</v>
      </c>
      <c r="B61" s="361">
        <f>'Sources and Uses Budget'!C61</f>
        <v>100000</v>
      </c>
      <c r="C61" s="362"/>
      <c r="D61" s="362"/>
      <c r="E61" s="363"/>
      <c r="F61" s="363"/>
      <c r="G61" s="363"/>
      <c r="H61" s="363"/>
      <c r="I61" s="363"/>
      <c r="J61" s="363"/>
      <c r="K61" s="359"/>
    </row>
    <row r="62" spans="1:11" s="360" customFormat="1" ht="13.7" customHeight="1">
      <c r="A62" s="365" t="s">
        <v>300</v>
      </c>
      <c r="B62" s="361">
        <f>'Sources and Uses Budget'!C62</f>
        <v>100000</v>
      </c>
      <c r="C62" s="361">
        <f>SUM(C56:C61)</f>
        <v>0</v>
      </c>
      <c r="D62" s="361">
        <f>SUM(D56:D61)</f>
        <v>0</v>
      </c>
      <c r="E62" s="363"/>
      <c r="F62" s="363"/>
      <c r="G62" s="363"/>
      <c r="H62" s="363"/>
      <c r="I62" s="363"/>
      <c r="J62" s="363"/>
      <c r="K62" s="359"/>
    </row>
    <row r="63" spans="1:11" s="360" customFormat="1">
      <c r="A63" s="370" t="s">
        <v>301</v>
      </c>
      <c r="B63" s="361">
        <f>'Sources and Uses Budget'!C63</f>
        <v>67670229</v>
      </c>
      <c r="C63" s="361">
        <f>SUM(C8+C11+C13+C14+C15+C26+C27+C38+C42+C43+C54+C62)</f>
        <v>0</v>
      </c>
      <c r="D63" s="361">
        <f>SUM(D8+D11+D13+D14+D15+D26+D27+D38+D42+D43+D54+D62)</f>
        <v>0</v>
      </c>
      <c r="E63" s="361">
        <f>'Sources and Uses Budget'!S63</f>
        <v>63788065</v>
      </c>
      <c r="F63" s="361">
        <f>SUM(F10+F13+F14+F15+F26+F27+F38+F42+F43+F54)</f>
        <v>0</v>
      </c>
      <c r="G63" s="361">
        <f>SUM(G10+G13+G14+G15+G26+G27+G38+G42+G43+G54)</f>
        <v>0</v>
      </c>
      <c r="H63" s="361">
        <f>'Sources and Uses Budget'!T63</f>
        <v>0</v>
      </c>
      <c r="I63" s="361">
        <f>SUM(I11+I13+I14+I15+I26+I27+I38+I42+I43+I54)</f>
        <v>0</v>
      </c>
      <c r="J63" s="361">
        <f>SUM(J11+J13+J14+J15+J26+J27+J38+J42+J43+J54)</f>
        <v>0</v>
      </c>
      <c r="K63" s="359"/>
    </row>
    <row r="64" spans="1:11" s="360" customFormat="1" ht="24">
      <c r="A64" s="141" t="s">
        <v>1643</v>
      </c>
      <c r="B64" s="358"/>
      <c r="C64" s="358"/>
      <c r="D64" s="358"/>
      <c r="E64" s="358"/>
      <c r="F64" s="358"/>
      <c r="G64" s="358"/>
      <c r="H64" s="358"/>
      <c r="I64" s="358"/>
      <c r="J64" s="358"/>
      <c r="K64" s="359"/>
    </row>
    <row r="65" spans="1:11" s="360" customFormat="1">
      <c r="A65" s="145" t="s">
        <v>170</v>
      </c>
      <c r="B65" s="361">
        <f>'Sources and Uses Budget'!C65</f>
        <v>65000</v>
      </c>
      <c r="C65" s="362"/>
      <c r="D65" s="362"/>
      <c r="E65" s="361">
        <f>'Sources and Uses Budget'!S65</f>
        <v>65000</v>
      </c>
      <c r="F65" s="362"/>
      <c r="G65" s="362"/>
      <c r="H65" s="361">
        <f>'Sources and Uses Budget'!T65</f>
        <v>0</v>
      </c>
      <c r="I65" s="362"/>
      <c r="J65" s="362"/>
      <c r="K65" s="359"/>
    </row>
    <row r="66" spans="1:11" s="360" customFormat="1" ht="24">
      <c r="A66" s="283" t="s">
        <v>1640</v>
      </c>
      <c r="B66" s="361">
        <f>'Sources and Uses Budget'!C66</f>
        <v>0</v>
      </c>
      <c r="C66" s="362"/>
      <c r="D66" s="362"/>
      <c r="E66" s="361">
        <f>'Sources and Uses Budget'!S66</f>
        <v>0</v>
      </c>
      <c r="F66" s="362"/>
      <c r="G66" s="362"/>
      <c r="H66" s="361">
        <f>'Sources and Uses Budget'!T66</f>
        <v>0</v>
      </c>
      <c r="I66" s="362"/>
      <c r="J66" s="362"/>
      <c r="K66" s="359"/>
    </row>
    <row r="67" spans="1:11" s="360" customFormat="1" ht="24">
      <c r="A67" s="283" t="s">
        <v>1641</v>
      </c>
      <c r="B67" s="361">
        <f>'Sources and Uses Budget'!C67</f>
        <v>400000</v>
      </c>
      <c r="C67" s="362"/>
      <c r="D67" s="362"/>
      <c r="E67" s="361">
        <f>'Sources and Uses Budget'!S67</f>
        <v>400000</v>
      </c>
      <c r="F67" s="362"/>
      <c r="G67" s="362"/>
      <c r="H67" s="361">
        <f>'Sources and Uses Budget'!T67</f>
        <v>0</v>
      </c>
      <c r="I67" s="362"/>
      <c r="J67" s="362"/>
      <c r="K67" s="359"/>
    </row>
    <row r="68" spans="1:11" s="360" customFormat="1">
      <c r="A68" s="283" t="s">
        <v>1647</v>
      </c>
      <c r="B68" s="361">
        <f>'Sources and Uses Budget'!C68</f>
        <v>0</v>
      </c>
      <c r="C68" s="362"/>
      <c r="D68" s="362"/>
      <c r="E68" s="361">
        <f>'Sources and Uses Budget'!S68</f>
        <v>0</v>
      </c>
      <c r="F68" s="362"/>
      <c r="G68" s="362"/>
      <c r="H68" s="361">
        <f>'Sources and Uses Budget'!T68</f>
        <v>0</v>
      </c>
      <c r="I68" s="362"/>
      <c r="J68" s="362"/>
      <c r="K68" s="359"/>
    </row>
    <row r="69" spans="1:11" s="360" customFormat="1">
      <c r="A69" s="364" t="str">
        <f>'Sources and Uses Budget'!$A69</f>
        <v>Other: Bond Counsel</v>
      </c>
      <c r="B69" s="361">
        <f>'Sources and Uses Budget'!C69</f>
        <v>50000</v>
      </c>
      <c r="C69" s="362"/>
      <c r="D69" s="362"/>
      <c r="E69" s="361">
        <f>'Sources and Uses Budget'!S69</f>
        <v>0</v>
      </c>
      <c r="F69" s="362"/>
      <c r="G69" s="362"/>
      <c r="H69" s="361">
        <f>'Sources and Uses Budget'!T69</f>
        <v>0</v>
      </c>
      <c r="I69" s="362"/>
      <c r="J69" s="362"/>
      <c r="K69" s="359"/>
    </row>
    <row r="70" spans="1:11" s="360" customFormat="1">
      <c r="A70" s="365" t="s">
        <v>601</v>
      </c>
      <c r="B70" s="361">
        <f>'Sources and Uses Budget'!C70</f>
        <v>515000</v>
      </c>
      <c r="C70" s="361">
        <f>SUM(C64:C69)</f>
        <v>0</v>
      </c>
      <c r="D70" s="361">
        <f>SUM(D64:D69)</f>
        <v>0</v>
      </c>
      <c r="E70" s="361">
        <f>'Sources and Uses Budget'!S70</f>
        <v>465000</v>
      </c>
      <c r="F70" s="367">
        <f>SUM(F65:F69)</f>
        <v>0</v>
      </c>
      <c r="G70" s="367">
        <f>SUM(G65:G69)</f>
        <v>0</v>
      </c>
      <c r="H70" s="361">
        <f>'Sources and Uses Budget'!T70</f>
        <v>0</v>
      </c>
      <c r="I70" s="367">
        <f>SUM(I65:I69)</f>
        <v>0</v>
      </c>
      <c r="J70" s="367">
        <f>SUM(J65:J69)</f>
        <v>0</v>
      </c>
      <c r="K70" s="359"/>
    </row>
    <row r="71" spans="1:11" s="360" customFormat="1">
      <c r="A71" s="357" t="s">
        <v>602</v>
      </c>
      <c r="B71" s="358"/>
      <c r="C71" s="358"/>
      <c r="D71" s="358"/>
      <c r="E71" s="358"/>
      <c r="F71" s="358"/>
      <c r="G71" s="358"/>
      <c r="H71" s="358"/>
      <c r="I71" s="358"/>
      <c r="J71" s="358"/>
      <c r="K71" s="359"/>
    </row>
    <row r="72" spans="1:11" s="360" customFormat="1">
      <c r="A72" s="364" t="s">
        <v>603</v>
      </c>
      <c r="B72" s="361">
        <f>'Sources and Uses Budget'!C72</f>
        <v>0</v>
      </c>
      <c r="C72" s="362"/>
      <c r="D72" s="362"/>
      <c r="E72" s="363"/>
      <c r="F72" s="363"/>
      <c r="G72" s="363"/>
      <c r="H72" s="363"/>
      <c r="I72" s="363"/>
      <c r="J72" s="363"/>
      <c r="K72" s="359"/>
    </row>
    <row r="73" spans="1:11" s="360" customFormat="1">
      <c r="A73" s="364" t="s">
        <v>604</v>
      </c>
      <c r="B73" s="361">
        <f>'Sources and Uses Budget'!C73</f>
        <v>0</v>
      </c>
      <c r="C73" s="362"/>
      <c r="D73" s="362"/>
      <c r="E73" s="363"/>
      <c r="F73" s="363"/>
      <c r="G73" s="363"/>
      <c r="H73" s="363"/>
      <c r="I73" s="363"/>
      <c r="J73" s="363"/>
      <c r="K73" s="359"/>
    </row>
    <row r="74" spans="1:11" s="360" customFormat="1">
      <c r="A74" s="366" t="s">
        <v>985</v>
      </c>
      <c r="B74" s="361">
        <f>'Sources and Uses Budget'!C74</f>
        <v>0</v>
      </c>
      <c r="C74" s="362"/>
      <c r="D74" s="362"/>
      <c r="E74" s="363"/>
      <c r="F74" s="363"/>
      <c r="G74" s="363"/>
      <c r="H74" s="363"/>
      <c r="I74" s="363"/>
      <c r="J74" s="363"/>
      <c r="K74" s="359"/>
    </row>
    <row r="75" spans="1:11" s="360" customFormat="1">
      <c r="A75" s="364" t="s">
        <v>605</v>
      </c>
      <c r="B75" s="361">
        <f>'Sources and Uses Budget'!C75</f>
        <v>1338473</v>
      </c>
      <c r="C75" s="362"/>
      <c r="D75" s="362"/>
      <c r="E75" s="363"/>
      <c r="F75" s="363"/>
      <c r="G75" s="363"/>
      <c r="H75" s="363"/>
      <c r="I75" s="363"/>
      <c r="J75" s="363"/>
      <c r="K75" s="359"/>
    </row>
    <row r="76" spans="1:11" s="360" customFormat="1">
      <c r="A76" s="364" t="str">
        <f>'Sources and Uses Budget'!$A76</f>
        <v>Other: (Specify)</v>
      </c>
      <c r="B76" s="361">
        <f>'Sources and Uses Budget'!C76</f>
        <v>0</v>
      </c>
      <c r="C76" s="362"/>
      <c r="D76" s="362"/>
      <c r="E76" s="363"/>
      <c r="F76" s="363"/>
      <c r="G76" s="363"/>
      <c r="H76" s="363"/>
      <c r="I76" s="363"/>
      <c r="J76" s="363"/>
      <c r="K76" s="359"/>
    </row>
    <row r="77" spans="1:11" s="360" customFormat="1">
      <c r="A77" s="365" t="s">
        <v>606</v>
      </c>
      <c r="B77" s="361">
        <f>'Sources and Uses Budget'!C77</f>
        <v>1338473</v>
      </c>
      <c r="C77" s="361">
        <f>SUM(C72:C76)</f>
        <v>0</v>
      </c>
      <c r="D77" s="361">
        <f>SUM(D72:D76)</f>
        <v>0</v>
      </c>
      <c r="E77" s="363"/>
      <c r="F77" s="363"/>
      <c r="G77" s="363"/>
      <c r="H77" s="363"/>
      <c r="I77" s="363"/>
      <c r="J77" s="363"/>
      <c r="K77" s="359"/>
    </row>
    <row r="78" spans="1:11" s="360" customFormat="1">
      <c r="A78" s="357" t="s">
        <v>1209</v>
      </c>
      <c r="B78" s="358"/>
      <c r="C78" s="358"/>
      <c r="D78" s="358"/>
      <c r="E78" s="358"/>
      <c r="F78" s="358"/>
      <c r="G78" s="358"/>
      <c r="H78" s="358"/>
      <c r="I78" s="358"/>
      <c r="J78" s="358"/>
      <c r="K78" s="359"/>
    </row>
    <row r="79" spans="1:11" s="360" customFormat="1">
      <c r="A79" s="364" t="s">
        <v>1211</v>
      </c>
      <c r="B79" s="361">
        <f>'Sources and Uses Budget'!C79</f>
        <v>2668928</v>
      </c>
      <c r="C79" s="362"/>
      <c r="D79" s="362"/>
      <c r="E79" s="361">
        <f>'Sources and Uses Budget'!S79</f>
        <v>2668928</v>
      </c>
      <c r="F79" s="362"/>
      <c r="G79" s="362"/>
      <c r="H79" s="361">
        <f>'Sources and Uses Budget'!T79</f>
        <v>0</v>
      </c>
      <c r="I79" s="362"/>
      <c r="J79" s="362"/>
      <c r="K79" s="359"/>
    </row>
    <row r="80" spans="1:11" s="360" customFormat="1">
      <c r="A80" s="364" t="s">
        <v>58</v>
      </c>
      <c r="B80" s="361">
        <f>'Sources and Uses Budget'!C80</f>
        <v>1371318</v>
      </c>
      <c r="C80" s="362"/>
      <c r="D80" s="362"/>
      <c r="E80" s="361">
        <f>'Sources and Uses Budget'!S80</f>
        <v>1371318</v>
      </c>
      <c r="F80" s="362"/>
      <c r="G80" s="362"/>
      <c r="H80" s="361">
        <f>'Sources and Uses Budget'!T80</f>
        <v>0</v>
      </c>
      <c r="I80" s="362"/>
      <c r="J80" s="362"/>
      <c r="K80" s="359"/>
    </row>
    <row r="81" spans="1:11" s="360" customFormat="1">
      <c r="A81" s="365" t="s">
        <v>1208</v>
      </c>
      <c r="B81" s="361">
        <f>'Sources and Uses Budget'!C81</f>
        <v>4040246</v>
      </c>
      <c r="C81" s="361">
        <f>SUM(C79:C80)</f>
        <v>0</v>
      </c>
      <c r="D81" s="361">
        <f>SUM(D79:D80)</f>
        <v>0</v>
      </c>
      <c r="E81" s="361">
        <f>'Sources and Uses Budget'!S81</f>
        <v>4040246</v>
      </c>
      <c r="F81" s="361">
        <f>SUM(F79:F80)</f>
        <v>0</v>
      </c>
      <c r="G81" s="361">
        <f>SUM(G79:G80)</f>
        <v>0</v>
      </c>
      <c r="H81" s="361">
        <f>'Sources and Uses Budget'!T81</f>
        <v>0</v>
      </c>
      <c r="I81" s="361">
        <f>SUM(I79:I80)</f>
        <v>0</v>
      </c>
      <c r="J81" s="361">
        <f>SUM(J79:J80)</f>
        <v>0</v>
      </c>
      <c r="K81" s="359"/>
    </row>
    <row r="82" spans="1:11" s="360" customFormat="1">
      <c r="A82" s="357" t="s">
        <v>765</v>
      </c>
      <c r="B82" s="358"/>
      <c r="C82" s="358"/>
      <c r="D82" s="358"/>
      <c r="E82" s="358"/>
      <c r="F82" s="358"/>
      <c r="G82" s="358"/>
      <c r="H82" s="358"/>
      <c r="I82" s="358"/>
      <c r="J82" s="358"/>
      <c r="K82" s="359"/>
    </row>
    <row r="83" spans="1:11" s="360" customFormat="1" ht="13.7" customHeight="1">
      <c r="A83" s="145" t="s">
        <v>2094</v>
      </c>
      <c r="B83" s="361">
        <f>'Sources and Uses Budget'!C83</f>
        <v>235808</v>
      </c>
      <c r="C83" s="362"/>
      <c r="D83" s="362"/>
      <c r="E83" s="363"/>
      <c r="F83" s="363"/>
      <c r="G83" s="363"/>
      <c r="H83" s="363"/>
      <c r="I83" s="363"/>
      <c r="J83" s="363"/>
      <c r="K83" s="359"/>
    </row>
    <row r="84" spans="1:11" s="360" customFormat="1">
      <c r="A84" s="145" t="s">
        <v>767</v>
      </c>
      <c r="B84" s="361">
        <f>'Sources and Uses Budget'!C84</f>
        <v>0</v>
      </c>
      <c r="C84" s="362"/>
      <c r="D84" s="362"/>
      <c r="E84" s="361">
        <f>'Sources and Uses Budget'!S84</f>
        <v>0</v>
      </c>
      <c r="F84" s="362"/>
      <c r="G84" s="362"/>
      <c r="H84" s="361">
        <f>'Sources and Uses Budget'!T84</f>
        <v>0</v>
      </c>
      <c r="I84" s="362"/>
      <c r="J84" s="362"/>
      <c r="K84" s="359"/>
    </row>
    <row r="85" spans="1:11" s="360" customFormat="1">
      <c r="A85" s="145" t="s">
        <v>768</v>
      </c>
      <c r="B85" s="361">
        <f>'Sources and Uses Budget'!C85</f>
        <v>0</v>
      </c>
      <c r="C85" s="362"/>
      <c r="D85" s="362"/>
      <c r="E85" s="361">
        <f>'Sources and Uses Budget'!S85</f>
        <v>0</v>
      </c>
      <c r="F85" s="362"/>
      <c r="G85" s="362"/>
      <c r="H85" s="361">
        <f>'Sources and Uses Budget'!T85</f>
        <v>0</v>
      </c>
      <c r="I85" s="362"/>
      <c r="J85" s="362"/>
      <c r="K85" s="359"/>
    </row>
    <row r="86" spans="1:11" s="360" customFormat="1">
      <c r="A86" s="145" t="s">
        <v>769</v>
      </c>
      <c r="B86" s="361">
        <f>'Sources and Uses Budget'!C86</f>
        <v>4058359</v>
      </c>
      <c r="C86" s="362"/>
      <c r="D86" s="362"/>
      <c r="E86" s="361">
        <f>'Sources and Uses Budget'!S86</f>
        <v>4058359</v>
      </c>
      <c r="F86" s="362"/>
      <c r="G86" s="362"/>
      <c r="H86" s="361">
        <f>'Sources and Uses Budget'!T86</f>
        <v>0</v>
      </c>
      <c r="I86" s="362"/>
      <c r="J86" s="362"/>
      <c r="K86" s="359"/>
    </row>
    <row r="87" spans="1:11" s="360" customFormat="1">
      <c r="A87" s="145" t="s">
        <v>770</v>
      </c>
      <c r="B87" s="361">
        <f>'Sources and Uses Budget'!C87</f>
        <v>0</v>
      </c>
      <c r="C87" s="362"/>
      <c r="D87" s="362"/>
      <c r="E87" s="361">
        <f>'Sources and Uses Budget'!S87</f>
        <v>0</v>
      </c>
      <c r="F87" s="362"/>
      <c r="G87" s="362"/>
      <c r="H87" s="361">
        <f>'Sources and Uses Budget'!T87</f>
        <v>0</v>
      </c>
      <c r="I87" s="362"/>
      <c r="J87" s="362"/>
      <c r="K87" s="359"/>
    </row>
    <row r="88" spans="1:11" s="360" customFormat="1">
      <c r="A88" s="145" t="s">
        <v>771</v>
      </c>
      <c r="B88" s="361">
        <f>'Sources and Uses Budget'!C88</f>
        <v>340000</v>
      </c>
      <c r="C88" s="362"/>
      <c r="D88" s="362"/>
      <c r="E88" s="363"/>
      <c r="F88" s="363"/>
      <c r="G88" s="363"/>
      <c r="H88" s="363"/>
      <c r="I88" s="363"/>
      <c r="J88" s="363"/>
      <c r="K88" s="359"/>
    </row>
    <row r="89" spans="1:11" s="360" customFormat="1">
      <c r="A89" s="145" t="s">
        <v>772</v>
      </c>
      <c r="B89" s="361">
        <f>'Sources and Uses Budget'!C89</f>
        <v>381011</v>
      </c>
      <c r="C89" s="362"/>
      <c r="D89" s="362"/>
      <c r="E89" s="361">
        <f>'Sources and Uses Budget'!S89</f>
        <v>381011</v>
      </c>
      <c r="F89" s="362"/>
      <c r="G89" s="362"/>
      <c r="H89" s="361">
        <f>'Sources and Uses Budget'!T89</f>
        <v>0</v>
      </c>
      <c r="I89" s="362"/>
      <c r="J89" s="362"/>
      <c r="K89" s="359"/>
    </row>
    <row r="90" spans="1:11" s="360" customFormat="1">
      <c r="A90" s="145" t="s">
        <v>773</v>
      </c>
      <c r="B90" s="361">
        <f>'Sources and Uses Budget'!C90</f>
        <v>0</v>
      </c>
      <c r="C90" s="362"/>
      <c r="D90" s="362"/>
      <c r="E90" s="361">
        <f>'Sources and Uses Budget'!S90</f>
        <v>0</v>
      </c>
      <c r="F90" s="362"/>
      <c r="G90" s="362"/>
      <c r="H90" s="361">
        <f>'Sources and Uses Budget'!T90</f>
        <v>0</v>
      </c>
      <c r="I90" s="362"/>
      <c r="J90" s="362"/>
      <c r="K90" s="359"/>
    </row>
    <row r="91" spans="1:11" s="360" customFormat="1">
      <c r="A91" s="155" t="s">
        <v>371</v>
      </c>
      <c r="B91" s="361">
        <f>'Sources and Uses Budget'!C91</f>
        <v>0</v>
      </c>
      <c r="C91" s="362"/>
      <c r="D91" s="362"/>
      <c r="E91" s="361">
        <f>'Sources and Uses Budget'!S91</f>
        <v>0</v>
      </c>
      <c r="F91" s="362"/>
      <c r="G91" s="362"/>
      <c r="H91" s="361">
        <f>'Sources and Uses Budget'!T91</f>
        <v>0</v>
      </c>
      <c r="I91" s="362"/>
      <c r="J91" s="362"/>
      <c r="K91" s="359"/>
    </row>
    <row r="92" spans="1:11" s="360" customFormat="1">
      <c r="A92" s="508" t="s">
        <v>1210</v>
      </c>
      <c r="B92" s="361">
        <f>'Sources and Uses Budget'!C92</f>
        <v>0</v>
      </c>
      <c r="C92" s="362"/>
      <c r="D92" s="362"/>
      <c r="E92" s="361">
        <f>'Sources and Uses Budget'!S92</f>
        <v>0</v>
      </c>
      <c r="F92" s="362"/>
      <c r="G92" s="362"/>
      <c r="H92" s="361">
        <f>'Sources and Uses Budget'!T92</f>
        <v>0</v>
      </c>
      <c r="I92" s="362"/>
      <c r="J92" s="362"/>
      <c r="K92" s="359"/>
    </row>
    <row r="93" spans="1:11" s="360" customFormat="1" ht="24">
      <c r="A93" s="364" t="str">
        <f>'Sources and Uses Budget'!$A93</f>
        <v>Other: Real Estate Taxes During Construction</v>
      </c>
      <c r="B93" s="361">
        <f>'Sources and Uses Budget'!C93</f>
        <v>377132</v>
      </c>
      <c r="C93" s="362"/>
      <c r="D93" s="362"/>
      <c r="E93" s="361">
        <f>'Sources and Uses Budget'!S93</f>
        <v>377132</v>
      </c>
      <c r="F93" s="362"/>
      <c r="G93" s="362"/>
      <c r="H93" s="361">
        <f>'Sources and Uses Budget'!T93</f>
        <v>0</v>
      </c>
      <c r="I93" s="362"/>
      <c r="J93" s="362"/>
      <c r="K93" s="359"/>
    </row>
    <row r="94" spans="1:11" s="360" customFormat="1">
      <c r="A94" s="364" t="str">
        <f>'Sources and Uses Budget'!$A94</f>
        <v>Other: Utilities During Construction</v>
      </c>
      <c r="B94" s="361">
        <f>'Sources and Uses Budget'!C94</f>
        <v>353387</v>
      </c>
      <c r="C94" s="362"/>
      <c r="D94" s="362"/>
      <c r="E94" s="361">
        <f>'Sources and Uses Budget'!S94</f>
        <v>353387</v>
      </c>
      <c r="F94" s="362"/>
      <c r="G94" s="362"/>
      <c r="H94" s="361">
        <f>'Sources and Uses Budget'!T94</f>
        <v>0</v>
      </c>
      <c r="I94" s="362"/>
      <c r="J94" s="362"/>
      <c r="K94" s="359"/>
    </row>
    <row r="95" spans="1:11" s="360" customFormat="1">
      <c r="A95" s="364" t="str">
        <f>'Sources and Uses Budget'!$A95</f>
        <v>Other: (Specify)</v>
      </c>
      <c r="B95" s="361">
        <f>'Sources and Uses Budget'!C95</f>
        <v>0</v>
      </c>
      <c r="C95" s="362"/>
      <c r="D95" s="362"/>
      <c r="E95" s="361">
        <f>'Sources and Uses Budget'!S95</f>
        <v>0</v>
      </c>
      <c r="F95" s="362"/>
      <c r="G95" s="362"/>
      <c r="H95" s="361">
        <f>'Sources and Uses Budget'!T95</f>
        <v>0</v>
      </c>
      <c r="I95" s="362"/>
      <c r="J95" s="362"/>
      <c r="K95" s="359"/>
    </row>
    <row r="96" spans="1:11" s="360" customFormat="1">
      <c r="A96" s="365" t="s">
        <v>774</v>
      </c>
      <c r="B96" s="361">
        <f>'Sources and Uses Budget'!C96</f>
        <v>5745697</v>
      </c>
      <c r="C96" s="361">
        <f>SUM(C83:C95)</f>
        <v>0</v>
      </c>
      <c r="D96" s="361">
        <f>SUM(D83:D95)</f>
        <v>0</v>
      </c>
      <c r="E96" s="361">
        <f>'Sources and Uses Budget'!S96</f>
        <v>5169889</v>
      </c>
      <c r="F96" s="367">
        <f>SUM(F84:F87,F89:F95)</f>
        <v>0</v>
      </c>
      <c r="G96" s="367">
        <f>SUM(G84:G87,G89:G95)</f>
        <v>0</v>
      </c>
      <c r="H96" s="361">
        <f>'Sources and Uses Budget'!T96</f>
        <v>0</v>
      </c>
      <c r="I96" s="361">
        <f>SUM(I84:I87,I89:I95)</f>
        <v>0</v>
      </c>
      <c r="J96" s="361">
        <f>SUM(J84:J87,J89:J95)</f>
        <v>0</v>
      </c>
      <c r="K96" s="359"/>
    </row>
    <row r="97" spans="1:11" s="360" customFormat="1">
      <c r="A97" s="365" t="s">
        <v>1028</v>
      </c>
      <c r="B97" s="361">
        <f>'Sources and Uses Budget'!C97</f>
        <v>79309645</v>
      </c>
      <c r="C97" s="361">
        <f>SUM(C63+C70+C77+C81+C96)</f>
        <v>0</v>
      </c>
      <c r="D97" s="361">
        <f>SUM(D63+D70+D77+D81+D96)</f>
        <v>0</v>
      </c>
      <c r="E97" s="361">
        <f>'Sources and Uses Budget'!S97</f>
        <v>73463200</v>
      </c>
      <c r="F97" s="367">
        <f>SUM(+F63+F70+F81+F96)</f>
        <v>0</v>
      </c>
      <c r="G97" s="367">
        <f>SUM(+G63+G70+G81+G96)</f>
        <v>0</v>
      </c>
      <c r="H97" s="361">
        <f>'Sources and Uses Budget'!T97</f>
        <v>0</v>
      </c>
      <c r="I97" s="367">
        <f>SUM(I63+I70+I81+I96)</f>
        <v>0</v>
      </c>
      <c r="J97" s="367">
        <f>SUM(J63+J70+J81+J96)</f>
        <v>0</v>
      </c>
      <c r="K97" s="359"/>
    </row>
    <row r="98" spans="1:11" s="360" customFormat="1">
      <c r="A98" s="357" t="s">
        <v>776</v>
      </c>
      <c r="B98" s="358"/>
      <c r="C98" s="358"/>
      <c r="D98" s="358"/>
      <c r="E98" s="358"/>
      <c r="F98" s="358"/>
      <c r="G98" s="358"/>
      <c r="H98" s="358"/>
      <c r="I98" s="358"/>
      <c r="J98" s="358"/>
      <c r="K98" s="359"/>
    </row>
    <row r="99" spans="1:11" s="360" customFormat="1">
      <c r="A99" s="145" t="s">
        <v>777</v>
      </c>
      <c r="B99" s="361">
        <f>'Sources and Uses Budget'!C99</f>
        <v>11019480</v>
      </c>
      <c r="C99" s="362"/>
      <c r="D99" s="362"/>
      <c r="E99" s="361">
        <f>'Sources and Uses Budget'!S99</f>
        <v>11019480</v>
      </c>
      <c r="F99" s="362"/>
      <c r="G99" s="362"/>
      <c r="H99" s="361">
        <f>'Sources and Uses Budget'!T99</f>
        <v>0</v>
      </c>
      <c r="I99" s="362"/>
      <c r="J99" s="362"/>
      <c r="K99" s="359"/>
    </row>
    <row r="100" spans="1:11" s="360" customFormat="1">
      <c r="A100" s="283" t="s">
        <v>1645</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c r="A101" s="145" t="s">
        <v>778</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1646</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779</v>
      </c>
      <c r="B104" s="361">
        <f>'Sources and Uses Budget'!C104</f>
        <v>11019480</v>
      </c>
      <c r="C104" s="361">
        <f>SUM(C99:C103)</f>
        <v>0</v>
      </c>
      <c r="D104" s="361">
        <f>SUM(D99:D103)</f>
        <v>0</v>
      </c>
      <c r="E104" s="361">
        <f>'Sources and Uses Budget'!S104</f>
        <v>11019480</v>
      </c>
      <c r="F104" s="367">
        <f>SUM(F99:F103)</f>
        <v>0</v>
      </c>
      <c r="G104" s="367">
        <f>SUM(G99:G103)</f>
        <v>0</v>
      </c>
      <c r="H104" s="361">
        <f>'Sources and Uses Budget'!T104</f>
        <v>0</v>
      </c>
      <c r="I104" s="367">
        <f>SUM(I99:I103)</f>
        <v>0</v>
      </c>
      <c r="J104" s="367">
        <f>SUM(J99:J103)</f>
        <v>0</v>
      </c>
      <c r="K104" s="359"/>
    </row>
    <row r="105" spans="1:11" s="360" customFormat="1">
      <c r="A105" s="365" t="s">
        <v>1029</v>
      </c>
      <c r="B105" s="361">
        <f>'Sources and Uses Budget'!C105</f>
        <v>90329125</v>
      </c>
      <c r="C105" s="367">
        <f>SUM(C97+C104)</f>
        <v>0</v>
      </c>
      <c r="D105" s="367">
        <f>SUM(D97+D104)</f>
        <v>0</v>
      </c>
      <c r="E105" s="361">
        <f>'Sources and Uses Budget'!S105</f>
        <v>84482680</v>
      </c>
      <c r="F105" s="367">
        <f>F97+F104</f>
        <v>0</v>
      </c>
      <c r="G105" s="367">
        <f>G97+G104</f>
        <v>0</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374</v>
      </c>
      <c r="E107" s="361">
        <f>'Sources and Uses Budget'!S107</f>
        <v>84482680</v>
      </c>
      <c r="F107" s="367">
        <f>F105+F106</f>
        <v>0</v>
      </c>
      <c r="G107" s="367">
        <f>G105+G106</f>
        <v>0</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2.75">
      <c r="A111" s="377"/>
      <c r="B111" s="375"/>
      <c r="C111" s="375"/>
      <c r="D111" s="375"/>
      <c r="J111" s="376"/>
      <c r="K111" s="359"/>
    </row>
    <row r="112" spans="1:11" s="360" customFormat="1" ht="12.75">
      <c r="A112" s="377"/>
      <c r="B112" s="375"/>
      <c r="C112" s="375"/>
      <c r="D112" s="375"/>
      <c r="J112" s="376"/>
      <c r="K112" s="359"/>
    </row>
    <row r="113" spans="1:11" s="360" customFormat="1" ht="14.25">
      <c r="A113" s="378"/>
      <c r="B113" s="375"/>
      <c r="C113" s="375"/>
      <c r="D113" s="375"/>
      <c r="J113" s="376"/>
      <c r="K113" s="359"/>
    </row>
    <row r="114" spans="1:11" s="360" customFormat="1" ht="12.75">
      <c r="A114" s="377"/>
      <c r="J114" s="376"/>
      <c r="K114" s="359"/>
    </row>
    <row r="115" spans="1:11" s="360" customFormat="1" ht="14.25">
      <c r="A115" s="378"/>
      <c r="J115" s="376"/>
      <c r="K115" s="359"/>
    </row>
    <row r="116" spans="1:11" s="360" customFormat="1" ht="14.2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4.25">
      <c r="A121" s="378"/>
      <c r="J121" s="376"/>
      <c r="K121" s="359"/>
    </row>
    <row r="122" spans="1:11" s="380" customFormat="1" ht="15.75">
      <c r="A122" s="379"/>
      <c r="J122" s="381"/>
      <c r="K122" s="382"/>
    </row>
    <row r="123" spans="1:11" s="360" customFormat="1">
      <c r="A123" s="383"/>
      <c r="J123" s="376"/>
      <c r="K123" s="359"/>
    </row>
    <row r="124" spans="1:11" s="360" customFormat="1">
      <c r="B124" s="384"/>
      <c r="D124" s="1869"/>
      <c r="E124" s="1315"/>
      <c r="F124" s="1315"/>
      <c r="G124" s="1315"/>
      <c r="H124" s="1315"/>
      <c r="I124" s="1315"/>
      <c r="J124" s="376"/>
      <c r="K124" s="359"/>
    </row>
    <row r="125" spans="1:11" s="360" customFormat="1" ht="12.75">
      <c r="A125" s="385"/>
      <c r="B125" s="384"/>
      <c r="C125" s="385"/>
      <c r="D125" s="1315"/>
      <c r="E125" s="1315"/>
      <c r="F125" s="1315"/>
      <c r="G125" s="1315"/>
      <c r="H125" s="1315"/>
      <c r="I125" s="1315"/>
      <c r="J125" s="376"/>
      <c r="K125" s="359"/>
    </row>
    <row r="126" spans="1:11" s="360" customFormat="1" ht="12.75">
      <c r="A126" s="385"/>
      <c r="B126" s="384"/>
      <c r="C126" s="385"/>
      <c r="D126" s="1315"/>
      <c r="E126" s="1315"/>
      <c r="F126" s="1315"/>
      <c r="G126" s="1315"/>
      <c r="H126" s="1315"/>
      <c r="I126" s="1315"/>
      <c r="J126" s="376"/>
      <c r="K126" s="359"/>
    </row>
    <row r="127" spans="1:11" s="360" customFormat="1" ht="12.75">
      <c r="A127" s="385"/>
      <c r="B127" s="384"/>
      <c r="C127" s="385"/>
      <c r="D127" s="386"/>
      <c r="E127" s="385"/>
      <c r="F127" s="385"/>
      <c r="G127" s="385"/>
      <c r="J127" s="376"/>
      <c r="K127" s="359"/>
    </row>
    <row r="128" spans="1:11" s="360" customFormat="1" ht="12.75">
      <c r="A128" s="385"/>
      <c r="B128" s="384"/>
      <c r="C128" s="385"/>
      <c r="D128" s="386"/>
      <c r="E128" s="385"/>
      <c r="F128" s="385"/>
      <c r="G128" s="385"/>
      <c r="J128" s="376"/>
      <c r="K128" s="359"/>
    </row>
    <row r="129" spans="1:11" s="360" customFormat="1" ht="12.75">
      <c r="A129" s="385"/>
      <c r="B129" s="384"/>
      <c r="C129" s="385"/>
      <c r="D129" s="385"/>
      <c r="E129" s="385"/>
      <c r="F129" s="385"/>
      <c r="G129" s="385"/>
      <c r="J129" s="376"/>
      <c r="K129" s="359"/>
    </row>
    <row r="130" spans="1:11" s="360" customFormat="1" ht="12.75">
      <c r="A130" s="385"/>
      <c r="B130" s="384"/>
      <c r="C130" s="385"/>
      <c r="D130" s="385"/>
      <c r="E130" s="385"/>
      <c r="F130" s="385"/>
      <c r="G130" s="385"/>
      <c r="J130" s="376"/>
      <c r="K130" s="359"/>
    </row>
    <row r="131" spans="1:11" s="360" customFormat="1" ht="12.75">
      <c r="A131" s="385"/>
      <c r="B131" s="387"/>
      <c r="C131" s="385"/>
      <c r="D131" s="385"/>
      <c r="E131" s="385"/>
      <c r="F131" s="385"/>
      <c r="G131" s="385"/>
      <c r="J131" s="376"/>
      <c r="K131" s="359"/>
    </row>
    <row r="132" spans="1:11" s="360" customFormat="1" ht="12.75">
      <c r="A132" s="388"/>
      <c r="B132" s="389"/>
      <c r="C132" s="385"/>
      <c r="D132" s="390"/>
      <c r="E132" s="385"/>
      <c r="F132" s="385"/>
      <c r="G132" s="385"/>
      <c r="J132" s="376"/>
      <c r="K132" s="359"/>
    </row>
    <row r="133" spans="1:11" s="360" customFormat="1" ht="12.75">
      <c r="A133" s="391"/>
      <c r="B133" s="385"/>
      <c r="C133" s="385"/>
      <c r="D133" s="385"/>
      <c r="E133" s="385"/>
      <c r="F133" s="385"/>
      <c r="G133" s="385"/>
      <c r="J133" s="376"/>
      <c r="K133" s="359"/>
    </row>
    <row r="134" spans="1:11" s="360" customFormat="1" ht="12.75">
      <c r="A134" s="391"/>
      <c r="B134" s="385"/>
      <c r="C134" s="385"/>
      <c r="D134" s="385"/>
      <c r="E134" s="385"/>
      <c r="F134" s="385"/>
      <c r="G134" s="385"/>
      <c r="J134" s="376"/>
      <c r="K134" s="359"/>
    </row>
    <row r="135" spans="1:11" s="360" customFormat="1" ht="12.75">
      <c r="A135" s="392"/>
      <c r="B135" s="385"/>
      <c r="C135" s="385"/>
      <c r="D135" s="385"/>
      <c r="E135" s="385"/>
      <c r="F135" s="385"/>
      <c r="G135" s="385"/>
      <c r="J135" s="376"/>
      <c r="K135" s="359"/>
    </row>
    <row r="136" spans="1:11" s="360" customFormat="1" ht="12.75">
      <c r="A136" s="377"/>
      <c r="B136" s="385"/>
      <c r="C136" s="385"/>
      <c r="D136" s="385"/>
      <c r="E136" s="385"/>
      <c r="F136" s="385"/>
      <c r="G136" s="385"/>
      <c r="J136" s="376"/>
      <c r="K136" s="359"/>
    </row>
    <row r="137" spans="1:11" ht="12.75">
      <c r="A137" s="391"/>
      <c r="B137" s="385"/>
      <c r="C137" s="385"/>
      <c r="D137" s="385"/>
      <c r="E137" s="385"/>
      <c r="F137" s="385"/>
      <c r="G137" s="385"/>
    </row>
    <row r="138" spans="1:11" ht="12" customHeight="1">
      <c r="A138" s="391"/>
      <c r="B138" s="385"/>
      <c r="C138" s="385"/>
      <c r="D138" s="385"/>
      <c r="E138" s="385"/>
      <c r="F138" s="385"/>
      <c r="G138" s="385"/>
    </row>
    <row r="139" spans="1:11" ht="12" customHeight="1">
      <c r="A139" s="1870"/>
      <c r="B139" s="1315"/>
      <c r="C139" s="1315"/>
      <c r="D139" s="356"/>
      <c r="E139" s="385"/>
      <c r="F139" s="385"/>
      <c r="G139" s="385"/>
    </row>
    <row r="140" spans="1:11" ht="12" customHeight="1">
      <c r="A140" s="1302"/>
      <c r="B140" s="1302"/>
      <c r="C140" s="1302"/>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AP4" sqref="AP4:AU4"/>
    </sheetView>
  </sheetViews>
  <sheetFormatPr defaultColWidth="2.7109375" defaultRowHeight="15.75" customHeight="1"/>
  <cols>
    <col min="1" max="8" width="2.7109375" style="1187"/>
    <col min="9" max="9" width="7.7109375" style="1187" customWidth="1"/>
    <col min="10" max="13" width="2.7109375" style="1187"/>
    <col min="14" max="14" width="4.7109375" style="1187" customWidth="1"/>
    <col min="15" max="19" width="2.7109375" style="1187"/>
    <col min="20" max="20" width="3.7109375" style="1187" customWidth="1"/>
    <col min="21" max="37" width="2.7109375" style="1187"/>
    <col min="38" max="38" width="3" style="1187" customWidth="1"/>
    <col min="39" max="45" width="2.7109375" style="1187"/>
    <col min="46" max="46" width="4.7109375" style="1187" customWidth="1"/>
    <col min="47" max="64" width="2.7109375" style="1187"/>
    <col min="65" max="65" width="10.42578125" style="1187" hidden="1" customWidth="1"/>
    <col min="66" max="66" width="5.5703125" style="1256" bestFit="1" customWidth="1"/>
    <col min="67" max="68" width="5.5703125" style="1256" customWidth="1"/>
    <col min="69" max="69" width="8" style="1256" customWidth="1"/>
    <col min="70" max="70" width="6" style="1256" customWidth="1"/>
    <col min="71" max="71" width="6.140625" style="1256" customWidth="1"/>
    <col min="72" max="76" width="5.5703125" style="1256" customWidth="1"/>
    <col min="77" max="77" width="6.140625" style="1256" bestFit="1" customWidth="1"/>
    <col min="78" max="78" width="5.5703125" style="1187" bestFit="1" customWidth="1"/>
    <col min="79" max="16384" width="2.7109375" style="1187"/>
  </cols>
  <sheetData>
    <row r="1" spans="1:65" ht="15.75" customHeight="1">
      <c r="A1" s="2319" t="s">
        <v>2456</v>
      </c>
      <c r="B1" s="2320"/>
      <c r="C1" s="2320"/>
      <c r="D1" s="2320"/>
      <c r="E1" s="2320"/>
      <c r="F1" s="2320"/>
      <c r="G1" s="2320"/>
      <c r="H1" s="2320"/>
      <c r="I1" s="2320"/>
      <c r="J1" s="2320"/>
      <c r="K1" s="2320"/>
      <c r="L1" s="2320"/>
      <c r="M1" s="2320"/>
      <c r="N1" s="2320"/>
      <c r="O1" s="2320"/>
      <c r="P1" s="2320"/>
      <c r="Q1" s="2320"/>
      <c r="R1" s="2320"/>
      <c r="S1" s="2320"/>
      <c r="T1" s="2320"/>
      <c r="U1" s="2320"/>
      <c r="V1" s="2320"/>
      <c r="W1" s="2320"/>
      <c r="X1" s="2320"/>
      <c r="Y1" s="2320"/>
      <c r="Z1" s="2320"/>
      <c r="AA1" s="2320"/>
      <c r="AB1" s="2320"/>
      <c r="AC1" s="2320"/>
      <c r="AD1" s="2320"/>
      <c r="AE1" s="2320"/>
      <c r="AF1" s="2320"/>
      <c r="AG1" s="2320"/>
      <c r="AH1" s="2320"/>
      <c r="AI1" s="2320"/>
      <c r="AJ1" s="2320"/>
      <c r="AK1" s="2320"/>
      <c r="AL1" s="2320"/>
      <c r="AM1" s="2320"/>
      <c r="AN1" s="2320"/>
      <c r="AO1" s="2320"/>
      <c r="AP1" s="2320"/>
      <c r="AQ1" s="2320"/>
      <c r="AR1" s="2320"/>
      <c r="AS1" s="2320"/>
      <c r="AT1" s="2320"/>
      <c r="AU1" s="2320"/>
      <c r="AV1" s="2320"/>
      <c r="AW1" s="2320"/>
      <c r="AX1" s="2320"/>
      <c r="AY1" s="2320"/>
      <c r="AZ1" s="2320"/>
      <c r="BA1" s="2320"/>
      <c r="BB1" s="2320"/>
      <c r="BC1" s="2320"/>
      <c r="BD1" s="2320"/>
      <c r="BE1" s="2321"/>
    </row>
    <row r="2" spans="1:65" ht="15.75" customHeight="1">
      <c r="A2" s="2322" t="s">
        <v>2455</v>
      </c>
      <c r="B2" s="2323"/>
      <c r="C2" s="2323"/>
      <c r="D2" s="2323"/>
      <c r="E2" s="2323"/>
      <c r="F2" s="2323"/>
      <c r="G2" s="2323"/>
      <c r="H2" s="2323"/>
      <c r="I2" s="2323"/>
      <c r="J2" s="2323"/>
      <c r="K2" s="2323"/>
      <c r="L2" s="2323"/>
      <c r="M2" s="2323"/>
      <c r="N2" s="2323"/>
      <c r="O2" s="2323"/>
      <c r="P2" s="2323"/>
      <c r="Q2" s="2323"/>
      <c r="R2" s="2323"/>
      <c r="S2" s="2323"/>
      <c r="T2" s="2323"/>
      <c r="U2" s="2323"/>
      <c r="V2" s="2323"/>
      <c r="W2" s="2323"/>
      <c r="X2" s="2323"/>
      <c r="Y2" s="2323"/>
      <c r="Z2" s="2323"/>
      <c r="AA2" s="2323"/>
      <c r="AB2" s="2323"/>
      <c r="AC2" s="2323"/>
      <c r="AD2" s="2323"/>
      <c r="AE2" s="2323"/>
      <c r="AF2" s="2323"/>
      <c r="AG2" s="2323"/>
      <c r="AH2" s="2323"/>
      <c r="AI2" s="2323"/>
      <c r="AJ2" s="2323"/>
      <c r="AK2" s="2323"/>
      <c r="AL2" s="2323"/>
      <c r="AM2" s="2323"/>
      <c r="AN2" s="2323"/>
      <c r="AO2" s="2323"/>
      <c r="AP2" s="2323"/>
      <c r="AQ2" s="2323"/>
      <c r="AR2" s="2323"/>
      <c r="AS2" s="2323"/>
      <c r="AT2" s="2323"/>
      <c r="AU2" s="2323"/>
      <c r="AV2" s="2323"/>
      <c r="AW2" s="2323"/>
      <c r="AX2" s="2323"/>
      <c r="AY2" s="2323"/>
      <c r="AZ2" s="2323"/>
      <c r="BA2" s="2323"/>
      <c r="BB2" s="2323"/>
      <c r="BC2" s="2323"/>
      <c r="BD2" s="2323"/>
      <c r="BE2" s="2324"/>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656</v>
      </c>
      <c r="C4" s="1192"/>
      <c r="D4" s="1192"/>
      <c r="E4" s="1192"/>
      <c r="F4" s="1192"/>
      <c r="G4" s="1190"/>
      <c r="H4" s="1190"/>
      <c r="I4" s="1190"/>
      <c r="J4" s="1190"/>
      <c r="K4" s="1190"/>
      <c r="L4" s="2311" t="str">
        <f>IF(Application!H18="","",Application!H18)</f>
        <v>Market Two</v>
      </c>
      <c r="M4" s="2312"/>
      <c r="N4" s="2312"/>
      <c r="O4" s="2312"/>
      <c r="P4" s="2312"/>
      <c r="Q4" s="2312"/>
      <c r="R4" s="2312"/>
      <c r="S4" s="2312"/>
      <c r="T4" s="2312"/>
      <c r="U4" s="2312"/>
      <c r="V4" s="2312"/>
      <c r="W4" s="2312"/>
      <c r="X4" s="2312"/>
      <c r="Y4" s="2312"/>
      <c r="Z4" s="2312"/>
      <c r="AA4" s="2312"/>
      <c r="AB4" s="2312"/>
      <c r="AC4" s="2313"/>
      <c r="AD4" s="1190"/>
      <c r="AE4" s="1190"/>
      <c r="AF4" s="2307" t="s">
        <v>2454</v>
      </c>
      <c r="AG4" s="2307"/>
      <c r="AH4" s="2307"/>
      <c r="AI4" s="2307"/>
      <c r="AJ4" s="2307"/>
      <c r="AK4" s="2307"/>
      <c r="AL4" s="2307"/>
      <c r="AM4" s="2307"/>
      <c r="AN4" s="2307"/>
      <c r="AO4" s="2307"/>
      <c r="AP4" s="2308"/>
      <c r="AQ4" s="2309"/>
      <c r="AR4" s="2309"/>
      <c r="AS4" s="2309"/>
      <c r="AT4" s="2309"/>
      <c r="AU4" s="2309"/>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2307" t="s">
        <v>2453</v>
      </c>
      <c r="AG5" s="2307"/>
      <c r="AH5" s="2307"/>
      <c r="AI5" s="2307"/>
      <c r="AJ5" s="2307"/>
      <c r="AK5" s="2307"/>
      <c r="AL5" s="2307"/>
      <c r="AM5" s="2307"/>
      <c r="AN5" s="2307"/>
      <c r="AO5" s="2307"/>
      <c r="AP5" s="2308"/>
      <c r="AQ5" s="2309"/>
      <c r="AR5" s="2309"/>
      <c r="AS5" s="2309"/>
      <c r="AT5" s="2309"/>
      <c r="AU5" s="2309"/>
      <c r="AV5" s="1190"/>
      <c r="AW5" s="1190"/>
      <c r="AX5" s="1190"/>
      <c r="AY5" s="1190"/>
      <c r="AZ5" s="1190"/>
      <c r="BA5" s="1190"/>
      <c r="BB5" s="1190"/>
      <c r="BC5" s="1190"/>
      <c r="BD5" s="1190"/>
      <c r="BE5" s="1191"/>
    </row>
    <row r="6" spans="1:65" ht="15.75" customHeight="1" thickBot="1">
      <c r="A6" s="1189"/>
      <c r="B6" s="1192" t="s">
        <v>2452</v>
      </c>
      <c r="C6" s="1190"/>
      <c r="D6" s="1190"/>
      <c r="E6" s="1190"/>
      <c r="F6" s="1190"/>
      <c r="G6" s="1190"/>
      <c r="H6" s="1190"/>
      <c r="I6" s="1190"/>
      <c r="J6" s="1190"/>
      <c r="K6" s="1190"/>
      <c r="L6" s="2311" t="str">
        <f>IF(Application!H16="","",Application!H16)</f>
        <v>MRK Partners, Inc.</v>
      </c>
      <c r="M6" s="2312"/>
      <c r="N6" s="2312"/>
      <c r="O6" s="2312"/>
      <c r="P6" s="2312"/>
      <c r="Q6" s="2312"/>
      <c r="R6" s="2312"/>
      <c r="S6" s="2312"/>
      <c r="T6" s="2312"/>
      <c r="U6" s="2312"/>
      <c r="V6" s="2312"/>
      <c r="W6" s="2312"/>
      <c r="X6" s="2312"/>
      <c r="Y6" s="2312"/>
      <c r="Z6" s="2312"/>
      <c r="AA6" s="2312"/>
      <c r="AB6" s="2312"/>
      <c r="AC6" s="2313"/>
      <c r="AD6" s="1190"/>
      <c r="AE6" s="1190"/>
      <c r="AF6" s="2314" t="s">
        <v>2451</v>
      </c>
      <c r="AG6" s="2314"/>
      <c r="AH6" s="2314"/>
      <c r="AI6" s="2314"/>
      <c r="AJ6" s="2314"/>
      <c r="AK6" s="2314"/>
      <c r="AL6" s="2314"/>
      <c r="AM6" s="2314"/>
      <c r="AN6" s="2314"/>
      <c r="AO6" s="2314"/>
      <c r="AP6" s="2315"/>
      <c r="AQ6" s="2315"/>
      <c r="AR6" s="2315"/>
      <c r="AS6" s="2315"/>
      <c r="AT6" s="2315"/>
      <c r="AU6" s="2315"/>
      <c r="AV6" s="1190"/>
      <c r="AW6" s="1190"/>
      <c r="AX6" s="1190"/>
      <c r="AY6" s="1190"/>
      <c r="AZ6" s="1190"/>
      <c r="BA6" s="1190"/>
      <c r="BB6" s="1190"/>
      <c r="BC6" s="1190"/>
      <c r="BD6" s="1190"/>
      <c r="BE6" s="1191"/>
    </row>
    <row r="7" spans="1:6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2314" t="s">
        <v>2450</v>
      </c>
      <c r="AG7" s="2314"/>
      <c r="AH7" s="2314"/>
      <c r="AI7" s="2314"/>
      <c r="AJ7" s="2314"/>
      <c r="AK7" s="2314"/>
      <c r="AL7" s="2314"/>
      <c r="AM7" s="2314"/>
      <c r="AN7" s="2314"/>
      <c r="AO7" s="2314"/>
      <c r="AP7" s="2315"/>
      <c r="AQ7" s="2315"/>
      <c r="AR7" s="2315"/>
      <c r="AS7" s="2315"/>
      <c r="AT7" s="2315"/>
      <c r="AU7" s="2315"/>
      <c r="AV7" s="1190"/>
      <c r="AW7" s="1190"/>
      <c r="AX7" s="1190"/>
      <c r="AY7" s="1190"/>
      <c r="AZ7" s="1190"/>
      <c r="BA7" s="1190"/>
      <c r="BB7" s="1190"/>
      <c r="BC7" s="1190"/>
      <c r="BD7" s="1190"/>
      <c r="BE7" s="1191"/>
    </row>
    <row r="8" spans="1:65" thickBot="1">
      <c r="A8" s="1189"/>
      <c r="B8" s="1192" t="s">
        <v>2449</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2316" t="str">
        <f>Application!T197</f>
        <v>No</v>
      </c>
      <c r="AC8" s="2317"/>
      <c r="AD8" s="2318"/>
      <c r="AE8" s="1190"/>
      <c r="AF8" s="2314" t="s">
        <v>2448</v>
      </c>
      <c r="AG8" s="2314"/>
      <c r="AH8" s="2314"/>
      <c r="AI8" s="2314"/>
      <c r="AJ8" s="2314"/>
      <c r="AK8" s="2314"/>
      <c r="AL8" s="2314"/>
      <c r="AM8" s="2314"/>
      <c r="AN8" s="2314"/>
      <c r="AO8" s="2314"/>
      <c r="AP8" s="2315" t="s">
        <v>2098</v>
      </c>
      <c r="AQ8" s="2315"/>
      <c r="AR8" s="2315"/>
      <c r="AS8" s="2315"/>
      <c r="AT8" s="2315"/>
      <c r="AU8" s="2315"/>
      <c r="AV8" s="1190"/>
      <c r="AW8" s="1190"/>
      <c r="AX8" s="1190"/>
      <c r="AY8" s="1190"/>
      <c r="AZ8" s="1190"/>
      <c r="BA8" s="1190"/>
      <c r="BB8" s="1190"/>
      <c r="BC8" s="1190"/>
      <c r="BD8" s="1190"/>
      <c r="BE8" s="1191"/>
      <c r="BM8" s="1187" t="s">
        <v>1983</v>
      </c>
    </row>
    <row r="9" spans="1:65" ht="1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2307" t="s">
        <v>2447</v>
      </c>
      <c r="AG9" s="2307"/>
      <c r="AH9" s="2307"/>
      <c r="AI9" s="2307"/>
      <c r="AJ9" s="2307"/>
      <c r="AK9" s="2307"/>
      <c r="AL9" s="2307"/>
      <c r="AM9" s="2307"/>
      <c r="AN9" s="2307"/>
      <c r="AO9" s="2307"/>
      <c r="AP9" s="2308"/>
      <c r="AQ9" s="2309"/>
      <c r="AR9" s="2309"/>
      <c r="AS9" s="2309"/>
      <c r="AT9" s="2309"/>
      <c r="AU9" s="2309"/>
      <c r="AV9" s="1190"/>
      <c r="AW9" s="1190"/>
      <c r="AX9" s="1190"/>
      <c r="AY9" s="1190"/>
      <c r="AZ9" s="1190"/>
      <c r="BA9" s="1190"/>
      <c r="BB9" s="1190"/>
      <c r="BC9" s="1190"/>
      <c r="BD9" s="1190"/>
      <c r="BE9" s="1191"/>
      <c r="BM9" s="1187" t="s">
        <v>2446</v>
      </c>
    </row>
    <row r="10" spans="1:65" ht="15">
      <c r="A10" s="1189"/>
      <c r="B10" s="1192" t="s">
        <v>2445</v>
      </c>
      <c r="C10" s="1192"/>
      <c r="D10" s="1192"/>
      <c r="E10" s="1192"/>
      <c r="F10" s="1192"/>
      <c r="G10" s="1192"/>
      <c r="H10" s="1192"/>
      <c r="I10" s="1192"/>
      <c r="J10" s="1192"/>
      <c r="K10" s="1192"/>
      <c r="L10" s="1192"/>
      <c r="M10" s="1190"/>
      <c r="N10" s="2310">
        <f>Application!AO627</f>
        <v>43682565</v>
      </c>
      <c r="O10" s="2310"/>
      <c r="P10" s="2310"/>
      <c r="Q10" s="2310"/>
      <c r="R10" s="2310"/>
      <c r="S10" s="2310"/>
      <c r="T10" s="2310"/>
      <c r="U10" s="1190"/>
      <c r="V10" s="1190"/>
      <c r="W10" s="1190"/>
      <c r="X10" s="1193"/>
      <c r="Y10" s="1193"/>
      <c r="Z10" s="1193"/>
      <c r="AA10" s="1193"/>
      <c r="AB10" s="1193"/>
      <c r="AC10" s="1193"/>
      <c r="AD10" s="1193"/>
      <c r="AE10" s="1193"/>
      <c r="AF10" s="2307" t="s">
        <v>2444</v>
      </c>
      <c r="AG10" s="2307"/>
      <c r="AH10" s="2307"/>
      <c r="AI10" s="2307"/>
      <c r="AJ10" s="2307"/>
      <c r="AK10" s="2307"/>
      <c r="AL10" s="2307"/>
      <c r="AM10" s="2307"/>
      <c r="AN10" s="2307"/>
      <c r="AO10" s="2307"/>
      <c r="AP10" s="2308"/>
      <c r="AQ10" s="2309"/>
      <c r="AR10" s="2309"/>
      <c r="AS10" s="2309"/>
      <c r="AT10" s="2309"/>
      <c r="AU10" s="2309"/>
      <c r="AV10" s="1193"/>
      <c r="AW10" s="1193"/>
      <c r="AX10" s="1190"/>
      <c r="AY10" s="1190"/>
      <c r="AZ10" s="1190"/>
      <c r="BA10" s="1190"/>
      <c r="BB10" s="1190"/>
      <c r="BC10" s="1190"/>
      <c r="BD10" s="1190"/>
      <c r="BE10" s="1191"/>
      <c r="BM10" s="1187" t="s">
        <v>2443</v>
      </c>
    </row>
    <row r="11" spans="1:65" ht="15">
      <c r="A11" s="1189"/>
      <c r="B11" s="1192" t="s">
        <v>2442</v>
      </c>
      <c r="C11" s="1192"/>
      <c r="D11" s="1192"/>
      <c r="E11" s="1192"/>
      <c r="F11" s="1192"/>
      <c r="G11" s="1192"/>
      <c r="H11" s="1192"/>
      <c r="I11" s="1192"/>
      <c r="J11" s="1192"/>
      <c r="K11" s="1192"/>
      <c r="L11" s="1192"/>
      <c r="M11" s="1190"/>
      <c r="N11" s="2310">
        <f>Application!AA934</f>
        <v>0</v>
      </c>
      <c r="O11" s="2310"/>
      <c r="P11" s="2310"/>
      <c r="Q11" s="2310"/>
      <c r="R11" s="2310"/>
      <c r="S11" s="2310"/>
      <c r="T11" s="2310"/>
      <c r="U11" s="1190"/>
      <c r="V11" s="1190"/>
      <c r="W11" s="1190"/>
      <c r="X11" s="1193"/>
      <c r="Y11" s="1193"/>
      <c r="Z11" s="1193"/>
      <c r="AA11" s="1193"/>
      <c r="AB11" s="1193"/>
      <c r="AC11" s="1193"/>
      <c r="AD11" s="1193"/>
      <c r="AE11" s="1193"/>
      <c r="AF11" s="2307" t="s">
        <v>2441</v>
      </c>
      <c r="AG11" s="2307"/>
      <c r="AH11" s="2307"/>
      <c r="AI11" s="2307"/>
      <c r="AJ11" s="2307"/>
      <c r="AK11" s="2307"/>
      <c r="AL11" s="2307"/>
      <c r="AM11" s="2307"/>
      <c r="AN11" s="2307"/>
      <c r="AO11" s="2307"/>
      <c r="AP11" s="2308"/>
      <c r="AQ11" s="2309"/>
      <c r="AR11" s="2309"/>
      <c r="AS11" s="2309"/>
      <c r="AT11" s="2309"/>
      <c r="AU11" s="2309"/>
      <c r="AV11" s="1193"/>
      <c r="AW11" s="1193"/>
      <c r="AX11" s="1190"/>
      <c r="AY11" s="1190"/>
      <c r="AZ11" s="1190"/>
      <c r="BA11" s="1190"/>
      <c r="BB11" s="1190"/>
      <c r="BC11" s="1190"/>
      <c r="BD11" s="1190"/>
      <c r="BE11" s="1191"/>
      <c r="BM11" s="1187" t="s">
        <v>2098</v>
      </c>
    </row>
    <row r="12" spans="1:6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2440</v>
      </c>
    </row>
    <row r="13" spans="1:65" thickBot="1">
      <c r="A13" s="1190"/>
      <c r="B13" s="2298" t="s">
        <v>2439</v>
      </c>
      <c r="C13" s="2299"/>
      <c r="D13" s="2299"/>
      <c r="E13" s="2299"/>
      <c r="F13" s="2299"/>
      <c r="G13" s="2299"/>
      <c r="H13" s="2299"/>
      <c r="I13" s="2299"/>
      <c r="J13" s="2299"/>
      <c r="K13" s="2299"/>
      <c r="L13" s="2299"/>
      <c r="M13" s="2299"/>
      <c r="N13" s="2299"/>
      <c r="O13" s="2299"/>
      <c r="P13" s="2300"/>
      <c r="Q13" s="2301" t="s">
        <v>669</v>
      </c>
      <c r="R13" s="2302"/>
      <c r="S13" s="2302"/>
      <c r="T13" s="2303"/>
      <c r="U13" s="1193"/>
      <c r="V13" s="1190"/>
      <c r="W13" s="1190"/>
      <c r="X13" s="1190"/>
      <c r="Y13" s="1190"/>
      <c r="Z13" s="1190"/>
      <c r="AA13" s="2288" t="s">
        <v>2438</v>
      </c>
      <c r="AB13" s="2288"/>
      <c r="AC13" s="2288"/>
      <c r="AD13" s="2288"/>
      <c r="AE13" s="2288"/>
      <c r="AF13" s="2288"/>
      <c r="AG13" s="2288"/>
      <c r="AH13" s="2288"/>
      <c r="AI13" s="2288"/>
      <c r="AJ13" s="2288"/>
      <c r="AK13" s="2288"/>
      <c r="AL13" s="2288"/>
      <c r="AM13" s="2288"/>
      <c r="AN13" s="2288"/>
      <c r="AO13" s="2304">
        <f>Application!W473</f>
        <v>0</v>
      </c>
      <c r="AP13" s="2305"/>
      <c r="AQ13" s="2305"/>
      <c r="AR13" s="2305"/>
      <c r="AS13" s="2305"/>
      <c r="AT13" s="1193"/>
      <c r="AU13" s="1193"/>
      <c r="AV13" s="1193"/>
      <c r="AW13" s="1193"/>
      <c r="AX13" s="1193"/>
      <c r="AY13" s="1193"/>
      <c r="AZ13" s="1193"/>
      <c r="BA13" s="1193"/>
      <c r="BB13" s="1193"/>
      <c r="BC13" s="1193"/>
      <c r="BD13" s="1193"/>
      <c r="BE13" s="1194"/>
      <c r="BM13" s="1187" t="s">
        <v>2437</v>
      </c>
    </row>
    <row r="14" spans="1:6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2306" t="s">
        <v>2436</v>
      </c>
      <c r="AB14" s="2306"/>
      <c r="AC14" s="2306"/>
      <c r="AD14" s="2306"/>
      <c r="AE14" s="2306"/>
      <c r="AF14" s="2306"/>
      <c r="AG14" s="2306"/>
      <c r="AH14" s="2306"/>
      <c r="AI14" s="2306"/>
      <c r="AJ14" s="2306"/>
      <c r="AK14" s="2306"/>
      <c r="AL14" s="2306"/>
      <c r="AM14" s="2306"/>
      <c r="AN14" s="2306"/>
      <c r="AO14" s="2289"/>
      <c r="AP14" s="2290"/>
      <c r="AQ14" s="2290"/>
      <c r="AR14" s="2290"/>
      <c r="AS14" s="2290"/>
      <c r="AT14" s="1193"/>
      <c r="AU14" s="1193"/>
      <c r="AV14" s="1193"/>
      <c r="AW14" s="1193"/>
      <c r="AX14" s="1193"/>
      <c r="AY14" s="1193"/>
      <c r="AZ14" s="1193"/>
      <c r="BA14" s="1193"/>
      <c r="BB14" s="1193"/>
      <c r="BC14" s="1193"/>
      <c r="BD14" s="1193"/>
      <c r="BE14" s="1194"/>
    </row>
    <row r="15" spans="1:65" thickBot="1">
      <c r="A15" s="1190"/>
      <c r="B15" s="2283" t="s">
        <v>2435</v>
      </c>
      <c r="C15" s="2284"/>
      <c r="D15" s="2284"/>
      <c r="E15" s="2284"/>
      <c r="F15" s="2284"/>
      <c r="G15" s="2284"/>
      <c r="H15" s="2284"/>
      <c r="I15" s="2284"/>
      <c r="J15" s="2284"/>
      <c r="K15" s="2284"/>
      <c r="L15" s="2284"/>
      <c r="M15" s="2284"/>
      <c r="N15" s="2284"/>
      <c r="O15" s="2284"/>
      <c r="P15" s="2284"/>
      <c r="Q15" s="2284"/>
      <c r="R15" s="2285"/>
      <c r="S15" s="2286" t="str">
        <f>IF(Application!AB214="","",Application!AB214)</f>
        <v/>
      </c>
      <c r="T15" s="2286"/>
      <c r="U15" s="2286"/>
      <c r="V15" s="2286"/>
      <c r="W15" s="2287"/>
      <c r="X15" s="1193"/>
      <c r="Y15" s="1190"/>
      <c r="Z15" s="1190"/>
      <c r="AA15" s="2288" t="s">
        <v>2434</v>
      </c>
      <c r="AB15" s="2288"/>
      <c r="AC15" s="2288"/>
      <c r="AD15" s="2288"/>
      <c r="AE15" s="2288"/>
      <c r="AF15" s="2288"/>
      <c r="AG15" s="2288"/>
      <c r="AH15" s="2288"/>
      <c r="AI15" s="2288"/>
      <c r="AJ15" s="2288"/>
      <c r="AK15" s="2288"/>
      <c r="AL15" s="2288"/>
      <c r="AM15" s="2288"/>
      <c r="AN15" s="2288"/>
      <c r="AO15" s="2289"/>
      <c r="AP15" s="2290"/>
      <c r="AQ15" s="2290"/>
      <c r="AR15" s="2290"/>
      <c r="AS15" s="2290"/>
      <c r="AT15" s="1193"/>
      <c r="AU15" s="1193"/>
      <c r="AV15" s="1193"/>
      <c r="AW15" s="1193"/>
      <c r="AX15" s="1193"/>
      <c r="AY15" s="1193"/>
      <c r="AZ15" s="1193"/>
      <c r="BA15" s="1193"/>
      <c r="BB15" s="1193"/>
      <c r="BC15" s="1193"/>
      <c r="BD15" s="1193"/>
      <c r="BE15" s="1194"/>
    </row>
    <row r="16" spans="1:6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5">
      <c r="A17" s="1190"/>
      <c r="B17" s="2096" t="s">
        <v>2433</v>
      </c>
      <c r="C17" s="2097"/>
      <c r="D17" s="2097"/>
      <c r="E17" s="2097"/>
      <c r="F17" s="2097"/>
      <c r="G17" s="2097"/>
      <c r="H17" s="2097"/>
      <c r="I17" s="2097"/>
      <c r="J17" s="2097"/>
      <c r="K17" s="2097"/>
      <c r="L17" s="2097"/>
      <c r="M17" s="2097"/>
      <c r="N17" s="2097"/>
      <c r="O17" s="2097"/>
      <c r="P17" s="2097"/>
      <c r="Q17" s="2097"/>
      <c r="R17" s="2097"/>
      <c r="S17" s="2097"/>
      <c r="T17" s="2097"/>
      <c r="U17" s="2097"/>
      <c r="V17" s="2097"/>
      <c r="W17" s="2097"/>
      <c r="X17" s="2097"/>
      <c r="Y17" s="2097"/>
      <c r="Z17" s="2097"/>
      <c r="AA17" s="2097"/>
      <c r="AB17" s="2097"/>
      <c r="AC17" s="2097"/>
      <c r="AD17" s="2097"/>
      <c r="AE17" s="2097"/>
      <c r="AF17" s="2097"/>
      <c r="AG17" s="2097"/>
      <c r="AH17" s="2097"/>
      <c r="AI17" s="2097"/>
      <c r="AJ17" s="2097"/>
      <c r="AK17" s="2097"/>
      <c r="AL17" s="2097"/>
      <c r="AM17" s="2097"/>
      <c r="AN17" s="2097"/>
      <c r="AO17" s="2097"/>
      <c r="AP17" s="2097"/>
      <c r="AQ17" s="2097"/>
      <c r="AR17" s="2097"/>
      <c r="AS17" s="2097"/>
      <c r="AT17" s="2097"/>
      <c r="AU17" s="2097"/>
      <c r="AV17" s="2097"/>
      <c r="AW17" s="2097"/>
      <c r="AX17" s="2097"/>
      <c r="AY17" s="2098"/>
      <c r="AZ17" s="1190"/>
      <c r="BA17" s="1190"/>
      <c r="BB17" s="1190"/>
      <c r="BC17" s="1190"/>
      <c r="BD17" s="1190"/>
      <c r="BE17" s="1194"/>
      <c r="BF17" s="1188"/>
    </row>
    <row r="18" spans="1:58" ht="15.75" customHeight="1">
      <c r="A18" s="1190"/>
      <c r="B18" s="2291" t="s">
        <v>2432</v>
      </c>
      <c r="C18" s="2292"/>
      <c r="D18" s="2292"/>
      <c r="E18" s="2292"/>
      <c r="F18" s="2292"/>
      <c r="G18" s="2292"/>
      <c r="H18" s="2292"/>
      <c r="I18" s="2293"/>
      <c r="J18" s="2294" t="s">
        <v>1585</v>
      </c>
      <c r="K18" s="2295"/>
      <c r="L18" s="2295"/>
      <c r="M18" s="2295"/>
      <c r="N18" s="2295"/>
      <c r="O18" s="2296"/>
      <c r="P18" s="2294" t="s">
        <v>323</v>
      </c>
      <c r="Q18" s="2295"/>
      <c r="R18" s="2295"/>
      <c r="S18" s="2295"/>
      <c r="T18" s="2295"/>
      <c r="U18" s="2296"/>
      <c r="V18" s="2294" t="s">
        <v>324</v>
      </c>
      <c r="W18" s="2295"/>
      <c r="X18" s="2295"/>
      <c r="Y18" s="2295"/>
      <c r="Z18" s="2295"/>
      <c r="AA18" s="2296"/>
      <c r="AB18" s="2294" t="s">
        <v>163</v>
      </c>
      <c r="AC18" s="2295"/>
      <c r="AD18" s="2295"/>
      <c r="AE18" s="2295"/>
      <c r="AF18" s="2295"/>
      <c r="AG18" s="2296"/>
      <c r="AH18" s="2294" t="s">
        <v>164</v>
      </c>
      <c r="AI18" s="2295"/>
      <c r="AJ18" s="2295"/>
      <c r="AK18" s="2295"/>
      <c r="AL18" s="2295"/>
      <c r="AM18" s="2296"/>
      <c r="AN18" s="2294" t="s">
        <v>165</v>
      </c>
      <c r="AO18" s="2295"/>
      <c r="AP18" s="2295"/>
      <c r="AQ18" s="2295"/>
      <c r="AR18" s="2295"/>
      <c r="AS18" s="2296"/>
      <c r="AT18" s="2294" t="s">
        <v>2431</v>
      </c>
      <c r="AU18" s="2295"/>
      <c r="AV18" s="2295"/>
      <c r="AW18" s="2295"/>
      <c r="AX18" s="2295"/>
      <c r="AY18" s="2297"/>
      <c r="AZ18" s="1190"/>
      <c r="BA18" s="1190"/>
      <c r="BB18" s="1190"/>
      <c r="BC18" s="1190"/>
      <c r="BD18" s="1190"/>
      <c r="BE18" s="1194"/>
    </row>
    <row r="19" spans="1:58" ht="15">
      <c r="A19" s="1190"/>
      <c r="B19" s="2277">
        <v>0.3</v>
      </c>
      <c r="C19" s="2278"/>
      <c r="D19" s="2278"/>
      <c r="E19" s="2278"/>
      <c r="F19" s="2278"/>
      <c r="G19" s="2278"/>
      <c r="H19" s="2278"/>
      <c r="I19" s="2279"/>
      <c r="J19" s="2280">
        <f t="shared" ref="J19:J24" si="0">SUM(P19:AS19)</f>
        <v>28</v>
      </c>
      <c r="K19" s="2281"/>
      <c r="L19" s="2281"/>
      <c r="M19" s="2281"/>
      <c r="N19" s="2281"/>
      <c r="O19" s="2282"/>
      <c r="P19" s="2280" cm="1">
        <f t="array" ref="P19">SUMPRODUCT((Application!$B$718:$B$752 = 'CalHFA Addendum'!P$18)*(Application!$AC$718:$AC$752 = 'CalHFA Addendum'!$B19),Application!$G$718:$G$752)</f>
        <v>28</v>
      </c>
      <c r="Q19" s="2281"/>
      <c r="R19" s="2281"/>
      <c r="S19" s="2281"/>
      <c r="T19" s="2281"/>
      <c r="U19" s="2282"/>
      <c r="V19" s="2280" cm="1">
        <f t="array" ref="V19">SUMPRODUCT((Application!$B$714:$B$738 = 'CalHFA Addendum'!V$18)*(Application!$AC$714:$AC$738 = 'CalHFA Addendum'!$B19),Application!$G$714:$G$738)</f>
        <v>0</v>
      </c>
      <c r="W19" s="2281"/>
      <c r="X19" s="2281"/>
      <c r="Y19" s="2281"/>
      <c r="Z19" s="2281"/>
      <c r="AA19" s="2282"/>
      <c r="AB19" s="2280" cm="1">
        <f t="array" ref="AB19">SUMPRODUCT((Application!$B$714:$B$738 = 'CalHFA Addendum'!AB$18)*(Application!$AC$714:$AC$738 = 'CalHFA Addendum'!$B19),Application!$G$714:$G$738)</f>
        <v>0</v>
      </c>
      <c r="AC19" s="2281"/>
      <c r="AD19" s="2281"/>
      <c r="AE19" s="2281"/>
      <c r="AF19" s="2281"/>
      <c r="AG19" s="2282"/>
      <c r="AH19" s="2280" cm="1">
        <f t="array" ref="AH19">SUMPRODUCT((Application!$B$714:$B$738 = 'CalHFA Addendum'!AH$18)*(Application!$AC$714:$AC$738 = 'CalHFA Addendum'!$B19),Application!$G$714:$G$738)</f>
        <v>0</v>
      </c>
      <c r="AI19" s="2281"/>
      <c r="AJ19" s="2281"/>
      <c r="AK19" s="2281"/>
      <c r="AL19" s="2281"/>
      <c r="AM19" s="2282"/>
      <c r="AN19" s="2280" cm="1">
        <f t="array" ref="AN19">SUMPRODUCT((Application!$B$714:$B$738 = 'CalHFA Addendum'!AN$18)*(Application!$AC$714:$AC$738 = 'CalHFA Addendum'!$B19),Application!$G$714:$G$738)</f>
        <v>0</v>
      </c>
      <c r="AO19" s="2281"/>
      <c r="AP19" s="2281"/>
      <c r="AQ19" s="2281"/>
      <c r="AR19" s="2281"/>
      <c r="AS19" s="2282"/>
      <c r="AT19" s="2265">
        <f t="shared" ref="AT19:AT29" si="1">J19/$J$29</f>
        <v>0.10294117647058823</v>
      </c>
      <c r="AU19" s="2266"/>
      <c r="AV19" s="2266"/>
      <c r="AW19" s="2266"/>
      <c r="AX19" s="2266"/>
      <c r="AY19" s="2267"/>
      <c r="AZ19" s="1195"/>
      <c r="BA19" s="1190"/>
      <c r="BB19" s="1190"/>
      <c r="BC19" s="1190"/>
      <c r="BD19" s="1190"/>
      <c r="BE19" s="1194"/>
    </row>
    <row r="20" spans="1:58" ht="15" customHeight="1">
      <c r="A20" s="1190"/>
      <c r="B20" s="2277">
        <v>0.4</v>
      </c>
      <c r="C20" s="2278"/>
      <c r="D20" s="2278"/>
      <c r="E20" s="2278"/>
      <c r="F20" s="2278"/>
      <c r="G20" s="2278"/>
      <c r="H20" s="2278"/>
      <c r="I20" s="2279"/>
      <c r="J20" s="2280">
        <f t="shared" si="0"/>
        <v>0</v>
      </c>
      <c r="K20" s="2281"/>
      <c r="L20" s="2281"/>
      <c r="M20" s="2281"/>
      <c r="N20" s="2281"/>
      <c r="O20" s="2282"/>
      <c r="P20" s="2280" cm="1">
        <f t="array" ref="P20">SUMPRODUCT((Application!$B$718:$B$752 = 'CalHFA Addendum'!P$18)*(Application!$AC$718:$AC$752 = 'CalHFA Addendum'!$B20),Application!$G$718:$G$752)</f>
        <v>0</v>
      </c>
      <c r="Q20" s="2281"/>
      <c r="R20" s="2281"/>
      <c r="S20" s="2281"/>
      <c r="T20" s="2281"/>
      <c r="U20" s="2282"/>
      <c r="V20" s="2280" cm="1">
        <f t="array" ref="V20">SUMPRODUCT((Application!$B$714:$B$738 = 'CalHFA Addendum'!V$18)*(Application!$AC$714:$AC$738 = 'CalHFA Addendum'!$B20),Application!$G$714:$G$738)</f>
        <v>0</v>
      </c>
      <c r="W20" s="2281"/>
      <c r="X20" s="2281"/>
      <c r="Y20" s="2281"/>
      <c r="Z20" s="2281"/>
      <c r="AA20" s="2282"/>
      <c r="AB20" s="2280" cm="1">
        <f t="array" ref="AB20">SUMPRODUCT((Application!$B$714:$B$738 = 'CalHFA Addendum'!AB$18)*(Application!$AC$714:$AC$738 = 'CalHFA Addendum'!$B20),Application!$G$714:$G$738)</f>
        <v>0</v>
      </c>
      <c r="AC20" s="2281"/>
      <c r="AD20" s="2281"/>
      <c r="AE20" s="2281"/>
      <c r="AF20" s="2281"/>
      <c r="AG20" s="2282"/>
      <c r="AH20" s="2280" cm="1">
        <f t="array" ref="AH20">SUMPRODUCT((Application!$B$714:$B$738 = 'CalHFA Addendum'!AH$18)*(Application!$AC$714:$AC$738 = 'CalHFA Addendum'!$B20),Application!$G$714:$G$738)</f>
        <v>0</v>
      </c>
      <c r="AI20" s="2281"/>
      <c r="AJ20" s="2281"/>
      <c r="AK20" s="2281"/>
      <c r="AL20" s="2281"/>
      <c r="AM20" s="2282"/>
      <c r="AN20" s="2280" cm="1">
        <f t="array" ref="AN20">SUMPRODUCT((Application!$B$714:$B$738 = 'CalHFA Addendum'!AN$18)*(Application!$AC$714:$AC$738 = 'CalHFA Addendum'!$B20),Application!$G$714:$G$738)</f>
        <v>0</v>
      </c>
      <c r="AO20" s="2281"/>
      <c r="AP20" s="2281"/>
      <c r="AQ20" s="2281"/>
      <c r="AR20" s="2281"/>
      <c r="AS20" s="2282"/>
      <c r="AT20" s="2265">
        <f t="shared" si="1"/>
        <v>0</v>
      </c>
      <c r="AU20" s="2266"/>
      <c r="AV20" s="2266"/>
      <c r="AW20" s="2266"/>
      <c r="AX20" s="2266"/>
      <c r="AY20" s="2267"/>
      <c r="AZ20" s="1190"/>
      <c r="BA20" s="1190"/>
      <c r="BB20" s="1190"/>
      <c r="BC20" s="1190"/>
      <c r="BD20" s="1190"/>
      <c r="BE20" s="1194"/>
    </row>
    <row r="21" spans="1:58" ht="15">
      <c r="A21" s="1190"/>
      <c r="B21" s="2277">
        <v>0.5</v>
      </c>
      <c r="C21" s="2278"/>
      <c r="D21" s="2278"/>
      <c r="E21" s="2278"/>
      <c r="F21" s="2278"/>
      <c r="G21" s="2278"/>
      <c r="H21" s="2278"/>
      <c r="I21" s="2279"/>
      <c r="J21" s="2280">
        <f t="shared" si="0"/>
        <v>28</v>
      </c>
      <c r="K21" s="2281"/>
      <c r="L21" s="2281"/>
      <c r="M21" s="2281"/>
      <c r="N21" s="2281"/>
      <c r="O21" s="2282"/>
      <c r="P21" s="2280" cm="1">
        <f t="array" ref="P21">SUMPRODUCT((Application!$B$714:$B$738 = 'CalHFA Addendum'!P$18)*(Application!$AC$714:$AC$738 = 'CalHFA Addendum'!$B21),Application!$G$714:$G$738)</f>
        <v>7</v>
      </c>
      <c r="Q21" s="2281"/>
      <c r="R21" s="2281"/>
      <c r="S21" s="2281"/>
      <c r="T21" s="2281"/>
      <c r="U21" s="2282"/>
      <c r="V21" s="2280" cm="1">
        <f t="array" ref="V21">SUMPRODUCT((Application!$B$714:$B$738 = 'CalHFA Addendum'!V$18)*(Application!$AC$714:$AC$738 = 'CalHFA Addendum'!$B21),Application!$G$714:$G$738)</f>
        <v>16</v>
      </c>
      <c r="W21" s="2281"/>
      <c r="X21" s="2281"/>
      <c r="Y21" s="2281"/>
      <c r="Z21" s="2281"/>
      <c r="AA21" s="2282"/>
      <c r="AB21" s="2280" cm="1">
        <f t="array" ref="AB21">SUMPRODUCT((Application!$B$714:$B$738 = 'CalHFA Addendum'!AB$18)*(Application!$AC$714:$AC$738 = 'CalHFA Addendum'!$B21),Application!$G$714:$G$738)</f>
        <v>3</v>
      </c>
      <c r="AC21" s="2281"/>
      <c r="AD21" s="2281"/>
      <c r="AE21" s="2281"/>
      <c r="AF21" s="2281"/>
      <c r="AG21" s="2282"/>
      <c r="AH21" s="2280" cm="1">
        <f t="array" ref="AH21">SUMPRODUCT((Application!$B$714:$B$738 = 'CalHFA Addendum'!AH$18)*(Application!$AC$714:$AC$738 = 'CalHFA Addendum'!$B21),Application!$G$714:$G$738)</f>
        <v>2</v>
      </c>
      <c r="AI21" s="2281"/>
      <c r="AJ21" s="2281"/>
      <c r="AK21" s="2281"/>
      <c r="AL21" s="2281"/>
      <c r="AM21" s="2282"/>
      <c r="AN21" s="2280" cm="1">
        <f t="array" ref="AN21">SUMPRODUCT((Application!$B$714:$B$738 = 'CalHFA Addendum'!AN$18)*(Application!$AC$714:$AC$738 = 'CalHFA Addendum'!$B21),Application!$G$714:$G$738)</f>
        <v>0</v>
      </c>
      <c r="AO21" s="2281"/>
      <c r="AP21" s="2281"/>
      <c r="AQ21" s="2281"/>
      <c r="AR21" s="2281"/>
      <c r="AS21" s="2282"/>
      <c r="AT21" s="2265">
        <f t="shared" si="1"/>
        <v>0.10294117647058823</v>
      </c>
      <c r="AU21" s="2266"/>
      <c r="AV21" s="2266"/>
      <c r="AW21" s="2266"/>
      <c r="AX21" s="2266"/>
      <c r="AY21" s="2267"/>
      <c r="AZ21" s="1190"/>
      <c r="BA21" s="1190"/>
      <c r="BB21" s="1190"/>
      <c r="BC21" s="1190"/>
      <c r="BD21" s="1190"/>
      <c r="BE21" s="1194"/>
    </row>
    <row r="22" spans="1:58" ht="15">
      <c r="A22" s="1190"/>
      <c r="B22" s="2277">
        <v>0.6</v>
      </c>
      <c r="C22" s="2278"/>
      <c r="D22" s="2278"/>
      <c r="E22" s="2278"/>
      <c r="F22" s="2278"/>
      <c r="G22" s="2278"/>
      <c r="H22" s="2278"/>
      <c r="I22" s="2279"/>
      <c r="J22" s="2280">
        <f t="shared" si="0"/>
        <v>151</v>
      </c>
      <c r="K22" s="2281"/>
      <c r="L22" s="2281"/>
      <c r="M22" s="2281"/>
      <c r="N22" s="2281"/>
      <c r="O22" s="2282"/>
      <c r="P22" s="2280" cm="1">
        <f t="array" ref="P22">SUMPRODUCT((Application!$B$714:$B$738 = 'CalHFA Addendum'!P$18)*(Application!$AC$714:$AC$738 = 'CalHFA Addendum'!$B22),Application!$G$714:$G$738)</f>
        <v>39</v>
      </c>
      <c r="Q22" s="2281"/>
      <c r="R22" s="2281"/>
      <c r="S22" s="2281"/>
      <c r="T22" s="2281"/>
      <c r="U22" s="2282"/>
      <c r="V22" s="2280" cm="1">
        <f t="array" ref="V22">SUMPRODUCT((Application!$B$714:$B$738 = 'CalHFA Addendum'!V$18)*(Application!$AC$714:$AC$738 = 'CalHFA Addendum'!$B22),Application!$G$714:$G$738)</f>
        <v>93</v>
      </c>
      <c r="W22" s="2281"/>
      <c r="X22" s="2281"/>
      <c r="Y22" s="2281"/>
      <c r="Z22" s="2281"/>
      <c r="AA22" s="2282"/>
      <c r="AB22" s="2280" cm="1">
        <f t="array" ref="AB22">SUMPRODUCT((Application!$B$714:$B$738 = 'CalHFA Addendum'!AB$18)*(Application!$AC$714:$AC$738 = 'CalHFA Addendum'!$B22),Application!$G$714:$G$738)</f>
        <v>19</v>
      </c>
      <c r="AC22" s="2281"/>
      <c r="AD22" s="2281"/>
      <c r="AE22" s="2281"/>
      <c r="AF22" s="2281"/>
      <c r="AG22" s="2282"/>
      <c r="AH22" s="2280" cm="1">
        <f t="array" ref="AH22">SUMPRODUCT((Application!$B$714:$B$738 = 'CalHFA Addendum'!AH$18)*(Application!$AC$714:$AC$738 = 'CalHFA Addendum'!$B22),Application!$G$714:$G$738)</f>
        <v>0</v>
      </c>
      <c r="AI22" s="2281"/>
      <c r="AJ22" s="2281"/>
      <c r="AK22" s="2281"/>
      <c r="AL22" s="2281"/>
      <c r="AM22" s="2282"/>
      <c r="AN22" s="2280" cm="1">
        <f t="array" ref="AN22">SUMPRODUCT((Application!$B$714:$B$738 = 'CalHFA Addendum'!AN$18)*(Application!$AC$714:$AC$738 = 'CalHFA Addendum'!$B22),Application!$G$714:$G$738)</f>
        <v>0</v>
      </c>
      <c r="AO22" s="2281"/>
      <c r="AP22" s="2281"/>
      <c r="AQ22" s="2281"/>
      <c r="AR22" s="2281"/>
      <c r="AS22" s="2282"/>
      <c r="AT22" s="2265">
        <f t="shared" si="1"/>
        <v>0.55514705882352944</v>
      </c>
      <c r="AU22" s="2266"/>
      <c r="AV22" s="2266"/>
      <c r="AW22" s="2266"/>
      <c r="AX22" s="2266"/>
      <c r="AY22" s="2267"/>
      <c r="AZ22" s="1190"/>
      <c r="BA22" s="1190"/>
      <c r="BB22" s="1190"/>
      <c r="BC22" s="1190"/>
      <c r="BD22" s="1190"/>
      <c r="BE22" s="1194"/>
    </row>
    <row r="23" spans="1:58" ht="15">
      <c r="A23" s="1190"/>
      <c r="B23" s="2277">
        <v>0.7</v>
      </c>
      <c r="C23" s="2278"/>
      <c r="D23" s="2278"/>
      <c r="E23" s="2278"/>
      <c r="F23" s="2278"/>
      <c r="G23" s="2278"/>
      <c r="H23" s="2278"/>
      <c r="I23" s="2279"/>
      <c r="J23" s="2280">
        <f t="shared" si="0"/>
        <v>62</v>
      </c>
      <c r="K23" s="2281"/>
      <c r="L23" s="2281"/>
      <c r="M23" s="2281"/>
      <c r="N23" s="2281"/>
      <c r="O23" s="2282"/>
      <c r="P23" s="2280" cm="1">
        <f t="array" ref="P23">SUMPRODUCT((Application!$B$714:$B$738 = 'CalHFA Addendum'!P$18)*(Application!$AC$714:$AC$738 = 'CalHFA Addendum'!$B23),Application!$G$714:$G$738)</f>
        <v>0</v>
      </c>
      <c r="Q23" s="2281"/>
      <c r="R23" s="2281"/>
      <c r="S23" s="2281"/>
      <c r="T23" s="2281"/>
      <c r="U23" s="2282"/>
      <c r="V23" s="2280" cm="1">
        <f t="array" ref="V23">SUMPRODUCT((Application!$B$714:$B$738 = 'CalHFA Addendum'!V$18)*(Application!$AC$714:$AC$738 = 'CalHFA Addendum'!$B23),Application!$G$714:$G$738)</f>
        <v>50</v>
      </c>
      <c r="W23" s="2281"/>
      <c r="X23" s="2281"/>
      <c r="Y23" s="2281"/>
      <c r="Z23" s="2281"/>
      <c r="AA23" s="2282"/>
      <c r="AB23" s="2280" cm="1">
        <f t="array" ref="AB23">SUMPRODUCT((Application!$B$714:$B$738 = 'CalHFA Addendum'!AB$18)*(Application!$AC$714:$AC$738 = 'CalHFA Addendum'!$B23),Application!$G$714:$G$738)</f>
        <v>0</v>
      </c>
      <c r="AC23" s="2281"/>
      <c r="AD23" s="2281"/>
      <c r="AE23" s="2281"/>
      <c r="AF23" s="2281"/>
      <c r="AG23" s="2282"/>
      <c r="AH23" s="2280" cm="1">
        <f t="array" ref="AH23">SUMPRODUCT((Application!$B$714:$B$738 = 'CalHFA Addendum'!AH$18)*(Application!$AC$714:$AC$738 = 'CalHFA Addendum'!$B23),Application!$G$714:$G$738)</f>
        <v>12</v>
      </c>
      <c r="AI23" s="2281"/>
      <c r="AJ23" s="2281"/>
      <c r="AK23" s="2281"/>
      <c r="AL23" s="2281"/>
      <c r="AM23" s="2282"/>
      <c r="AN23" s="2280" cm="1">
        <f t="array" ref="AN23">SUMPRODUCT((Application!$B$714:$B$738 = 'CalHFA Addendum'!AN$18)*(Application!$AC$714:$AC$738 = 'CalHFA Addendum'!$B23),Application!$G$714:$G$738)</f>
        <v>0</v>
      </c>
      <c r="AO23" s="2281"/>
      <c r="AP23" s="2281"/>
      <c r="AQ23" s="2281"/>
      <c r="AR23" s="2281"/>
      <c r="AS23" s="2282"/>
      <c r="AT23" s="2265">
        <f t="shared" si="1"/>
        <v>0.22794117647058823</v>
      </c>
      <c r="AU23" s="2266"/>
      <c r="AV23" s="2266"/>
      <c r="AW23" s="2266"/>
      <c r="AX23" s="2266"/>
      <c r="AY23" s="2267"/>
      <c r="AZ23" s="1190"/>
      <c r="BA23" s="1190"/>
      <c r="BB23" s="1190"/>
      <c r="BC23" s="1190"/>
      <c r="BD23" s="1190"/>
      <c r="BE23" s="1194"/>
    </row>
    <row r="24" spans="1:58" ht="15">
      <c r="A24" s="1190"/>
      <c r="B24" s="2277">
        <v>0.8</v>
      </c>
      <c r="C24" s="2278"/>
      <c r="D24" s="2278"/>
      <c r="E24" s="2278"/>
      <c r="F24" s="2278"/>
      <c r="G24" s="2278"/>
      <c r="H24" s="2278"/>
      <c r="I24" s="2279"/>
      <c r="J24" s="2280">
        <f t="shared" si="0"/>
        <v>0</v>
      </c>
      <c r="K24" s="2281"/>
      <c r="L24" s="2281"/>
      <c r="M24" s="2281"/>
      <c r="N24" s="2281"/>
      <c r="O24" s="2282"/>
      <c r="P24" s="2280" cm="1">
        <f t="array" ref="P24">SUMPRODUCT((Application!$B$714:$B$738 = 'CalHFA Addendum'!P$18)*(Application!$AC$714:$AC$738 = 'CalHFA Addendum'!$B24),Application!$G$714:$G$738)</f>
        <v>0</v>
      </c>
      <c r="Q24" s="2281"/>
      <c r="R24" s="2281"/>
      <c r="S24" s="2281"/>
      <c r="T24" s="2281"/>
      <c r="U24" s="2282"/>
      <c r="V24" s="2280" cm="1">
        <f t="array" ref="V24">SUMPRODUCT((Application!$B$714:$B$738 = 'CalHFA Addendum'!V$18)*(Application!$AC$714:$AC$738 = 'CalHFA Addendum'!$B24),Application!$G$714:$G$738)</f>
        <v>0</v>
      </c>
      <c r="W24" s="2281"/>
      <c r="X24" s="2281"/>
      <c r="Y24" s="2281"/>
      <c r="Z24" s="2281"/>
      <c r="AA24" s="2282"/>
      <c r="AB24" s="2280" cm="1">
        <f t="array" ref="AB24">SUMPRODUCT((Application!$B$714:$B$738 = 'CalHFA Addendum'!AB$18)*(Application!$AC$714:$AC$738 = 'CalHFA Addendum'!$B24),Application!$G$714:$G$738)</f>
        <v>0</v>
      </c>
      <c r="AC24" s="2281"/>
      <c r="AD24" s="2281"/>
      <c r="AE24" s="2281"/>
      <c r="AF24" s="2281"/>
      <c r="AG24" s="2282"/>
      <c r="AH24" s="2280" cm="1">
        <f t="array" ref="AH24">SUMPRODUCT((Application!$B$714:$B$738 = 'CalHFA Addendum'!AH$18)*(Application!$AC$714:$AC$738 = 'CalHFA Addendum'!$B24),Application!$G$714:$G$738)</f>
        <v>0</v>
      </c>
      <c r="AI24" s="2281"/>
      <c r="AJ24" s="2281"/>
      <c r="AK24" s="2281"/>
      <c r="AL24" s="2281"/>
      <c r="AM24" s="2282"/>
      <c r="AN24" s="2280" cm="1">
        <f t="array" ref="AN24">SUMPRODUCT((Application!$B$714:$B$738 = 'CalHFA Addendum'!AN$18)*(Application!$AC$714:$AC$738 = 'CalHFA Addendum'!$B24),Application!$G$714:$G$738)</f>
        <v>0</v>
      </c>
      <c r="AO24" s="2281"/>
      <c r="AP24" s="2281"/>
      <c r="AQ24" s="2281"/>
      <c r="AR24" s="2281"/>
      <c r="AS24" s="2282"/>
      <c r="AT24" s="2265">
        <f t="shared" si="1"/>
        <v>0</v>
      </c>
      <c r="AU24" s="2266"/>
      <c r="AV24" s="2266"/>
      <c r="AW24" s="2266"/>
      <c r="AX24" s="2266"/>
      <c r="AY24" s="2267"/>
      <c r="AZ24" s="1190"/>
      <c r="BA24" s="1190"/>
      <c r="BB24" s="1190"/>
      <c r="BC24" s="1190"/>
      <c r="BD24" s="1190"/>
      <c r="BE24" s="1194"/>
    </row>
    <row r="25" spans="1:58" ht="15">
      <c r="A25" s="1190"/>
      <c r="B25" s="2277">
        <v>0.9</v>
      </c>
      <c r="C25" s="2278"/>
      <c r="D25" s="2278"/>
      <c r="E25" s="2278"/>
      <c r="F25" s="2278"/>
      <c r="G25" s="2278"/>
      <c r="H25" s="2278"/>
      <c r="I25" s="2279"/>
      <c r="J25" s="2262"/>
      <c r="K25" s="2263"/>
      <c r="L25" s="2263"/>
      <c r="M25" s="2263"/>
      <c r="N25" s="2263"/>
      <c r="O25" s="2264"/>
      <c r="P25" s="2262"/>
      <c r="Q25" s="2263"/>
      <c r="R25" s="2263"/>
      <c r="S25" s="2263"/>
      <c r="T25" s="2263"/>
      <c r="U25" s="2264"/>
      <c r="V25" s="2262"/>
      <c r="W25" s="2263"/>
      <c r="X25" s="2263"/>
      <c r="Y25" s="2263"/>
      <c r="Z25" s="2263"/>
      <c r="AA25" s="2264"/>
      <c r="AB25" s="2262"/>
      <c r="AC25" s="2263"/>
      <c r="AD25" s="2263"/>
      <c r="AE25" s="2263"/>
      <c r="AF25" s="2263"/>
      <c r="AG25" s="2264"/>
      <c r="AH25" s="2262"/>
      <c r="AI25" s="2263"/>
      <c r="AJ25" s="2263"/>
      <c r="AK25" s="2263"/>
      <c r="AL25" s="2263"/>
      <c r="AM25" s="2264"/>
      <c r="AN25" s="2262"/>
      <c r="AO25" s="2263"/>
      <c r="AP25" s="2263"/>
      <c r="AQ25" s="2263"/>
      <c r="AR25" s="2263"/>
      <c r="AS25" s="2264"/>
      <c r="AT25" s="2265">
        <f t="shared" si="1"/>
        <v>0</v>
      </c>
      <c r="AU25" s="2266"/>
      <c r="AV25" s="2266"/>
      <c r="AW25" s="2266"/>
      <c r="AX25" s="2266"/>
      <c r="AY25" s="2267"/>
      <c r="AZ25" s="1190"/>
      <c r="BA25" s="1190"/>
      <c r="BB25" s="1190"/>
      <c r="BC25" s="1190"/>
      <c r="BD25" s="1190"/>
      <c r="BE25" s="1194"/>
    </row>
    <row r="26" spans="1:58" ht="15">
      <c r="A26" s="1190"/>
      <c r="B26" s="2277">
        <v>1</v>
      </c>
      <c r="C26" s="2278"/>
      <c r="D26" s="2278"/>
      <c r="E26" s="2278"/>
      <c r="F26" s="2278"/>
      <c r="G26" s="2278"/>
      <c r="H26" s="2278"/>
      <c r="I26" s="2279"/>
      <c r="J26" s="2262"/>
      <c r="K26" s="2263"/>
      <c r="L26" s="2263"/>
      <c r="M26" s="2263"/>
      <c r="N26" s="2263"/>
      <c r="O26" s="2264"/>
      <c r="P26" s="2262"/>
      <c r="Q26" s="2263"/>
      <c r="R26" s="2263"/>
      <c r="S26" s="2263"/>
      <c r="T26" s="2263"/>
      <c r="U26" s="2264"/>
      <c r="V26" s="2262"/>
      <c r="W26" s="2263"/>
      <c r="X26" s="2263"/>
      <c r="Y26" s="2263"/>
      <c r="Z26" s="2263"/>
      <c r="AA26" s="2264"/>
      <c r="AB26" s="2262"/>
      <c r="AC26" s="2263"/>
      <c r="AD26" s="2263"/>
      <c r="AE26" s="2263"/>
      <c r="AF26" s="2263"/>
      <c r="AG26" s="2264"/>
      <c r="AH26" s="2262"/>
      <c r="AI26" s="2263"/>
      <c r="AJ26" s="2263"/>
      <c r="AK26" s="2263"/>
      <c r="AL26" s="2263"/>
      <c r="AM26" s="2264"/>
      <c r="AN26" s="2262"/>
      <c r="AO26" s="2263"/>
      <c r="AP26" s="2263"/>
      <c r="AQ26" s="2263"/>
      <c r="AR26" s="2263"/>
      <c r="AS26" s="2264"/>
      <c r="AT26" s="2265">
        <f t="shared" si="1"/>
        <v>0</v>
      </c>
      <c r="AU26" s="2266"/>
      <c r="AV26" s="2266"/>
      <c r="AW26" s="2266"/>
      <c r="AX26" s="2266"/>
      <c r="AY26" s="2267"/>
      <c r="AZ26" s="1190"/>
      <c r="BA26" s="1190"/>
      <c r="BB26" s="1190"/>
      <c r="BC26" s="1190"/>
      <c r="BD26" s="1190"/>
      <c r="BE26" s="1194"/>
    </row>
    <row r="27" spans="1:58" ht="15">
      <c r="A27" s="1190"/>
      <c r="B27" s="2277">
        <v>1.2</v>
      </c>
      <c r="C27" s="2278"/>
      <c r="D27" s="2278"/>
      <c r="E27" s="2278"/>
      <c r="F27" s="2278"/>
      <c r="G27" s="2278"/>
      <c r="H27" s="2278"/>
      <c r="I27" s="2279"/>
      <c r="J27" s="2262"/>
      <c r="K27" s="2263"/>
      <c r="L27" s="2263"/>
      <c r="M27" s="2263"/>
      <c r="N27" s="2263"/>
      <c r="O27" s="2264"/>
      <c r="P27" s="2262"/>
      <c r="Q27" s="2263"/>
      <c r="R27" s="2263"/>
      <c r="S27" s="2263"/>
      <c r="T27" s="2263"/>
      <c r="U27" s="2264"/>
      <c r="V27" s="2262"/>
      <c r="W27" s="2263"/>
      <c r="X27" s="2263"/>
      <c r="Y27" s="2263"/>
      <c r="Z27" s="2263"/>
      <c r="AA27" s="2264"/>
      <c r="AB27" s="2262"/>
      <c r="AC27" s="2263"/>
      <c r="AD27" s="2263"/>
      <c r="AE27" s="2263"/>
      <c r="AF27" s="2263"/>
      <c r="AG27" s="2264"/>
      <c r="AH27" s="2262"/>
      <c r="AI27" s="2263"/>
      <c r="AJ27" s="2263"/>
      <c r="AK27" s="2263"/>
      <c r="AL27" s="2263"/>
      <c r="AM27" s="2264"/>
      <c r="AN27" s="2262"/>
      <c r="AO27" s="2263"/>
      <c r="AP27" s="2263"/>
      <c r="AQ27" s="2263"/>
      <c r="AR27" s="2263"/>
      <c r="AS27" s="2264"/>
      <c r="AT27" s="2265">
        <f t="shared" si="1"/>
        <v>0</v>
      </c>
      <c r="AU27" s="2266"/>
      <c r="AV27" s="2266"/>
      <c r="AW27" s="2266"/>
      <c r="AX27" s="2266"/>
      <c r="AY27" s="2267"/>
      <c r="AZ27" s="1190"/>
      <c r="BA27" s="1190"/>
      <c r="BB27" s="1190"/>
      <c r="BC27" s="1190"/>
      <c r="BD27" s="1190"/>
      <c r="BE27" s="1194"/>
    </row>
    <row r="28" spans="1:58" thickBot="1">
      <c r="A28" s="1190"/>
      <c r="B28" s="2268" t="s">
        <v>2430</v>
      </c>
      <c r="C28" s="2269"/>
      <c r="D28" s="2269"/>
      <c r="E28" s="2269"/>
      <c r="F28" s="2269"/>
      <c r="G28" s="2269"/>
      <c r="H28" s="2269"/>
      <c r="I28" s="2270"/>
      <c r="J28" s="2271">
        <f>SUM(P28:AS28)</f>
        <v>3</v>
      </c>
      <c r="K28" s="2272"/>
      <c r="L28" s="2272"/>
      <c r="M28" s="2272"/>
      <c r="N28" s="2272"/>
      <c r="O28" s="2273"/>
      <c r="P28" s="2271">
        <f>_xlfn.IFNA(VLOOKUP(P$18,Application!$J$773:$S$776,6,FALSE), 0)</f>
        <v>0</v>
      </c>
      <c r="Q28" s="2272"/>
      <c r="R28" s="2272"/>
      <c r="S28" s="2272"/>
      <c r="T28" s="2272"/>
      <c r="U28" s="2273"/>
      <c r="V28" s="2271">
        <f>_xlfn.IFNA(VLOOKUP(V$18,Application!$J$773:$S$776,6,FALSE), 0)</f>
        <v>1</v>
      </c>
      <c r="W28" s="2272"/>
      <c r="X28" s="2272"/>
      <c r="Y28" s="2272"/>
      <c r="Z28" s="2272"/>
      <c r="AA28" s="2273"/>
      <c r="AB28" s="2271">
        <f>_xlfn.IFNA(VLOOKUP(AB$18,Application!$J$773:$S$776,6,FALSE), 0)</f>
        <v>1</v>
      </c>
      <c r="AC28" s="2272"/>
      <c r="AD28" s="2272"/>
      <c r="AE28" s="2272"/>
      <c r="AF28" s="2272"/>
      <c r="AG28" s="2273"/>
      <c r="AH28" s="2271">
        <f>_xlfn.IFNA(VLOOKUP(AH$18,Application!$J$773:$S$776,6,FALSE), 0)</f>
        <v>1</v>
      </c>
      <c r="AI28" s="2272"/>
      <c r="AJ28" s="2272"/>
      <c r="AK28" s="2272"/>
      <c r="AL28" s="2272"/>
      <c r="AM28" s="2273"/>
      <c r="AN28" s="2271">
        <f>_xlfn.IFNA(VLOOKUP(AN$18,Application!$J$773:$S$776,6,FALSE), 0)</f>
        <v>0</v>
      </c>
      <c r="AO28" s="2272"/>
      <c r="AP28" s="2272"/>
      <c r="AQ28" s="2272"/>
      <c r="AR28" s="2272"/>
      <c r="AS28" s="2273"/>
      <c r="AT28" s="2274">
        <f t="shared" si="1"/>
        <v>1.1029411764705883E-2</v>
      </c>
      <c r="AU28" s="2275"/>
      <c r="AV28" s="2275"/>
      <c r="AW28" s="2275"/>
      <c r="AX28" s="2275"/>
      <c r="AY28" s="2276"/>
      <c r="AZ28" s="1190"/>
      <c r="BA28" s="1190"/>
      <c r="BB28" s="1190"/>
      <c r="BC28" s="1190"/>
      <c r="BD28" s="1190"/>
      <c r="BE28" s="1194"/>
    </row>
    <row r="29" spans="1:58" thickBot="1">
      <c r="A29" s="1190"/>
      <c r="B29" s="2251" t="s">
        <v>1585</v>
      </c>
      <c r="C29" s="2224"/>
      <c r="D29" s="2224"/>
      <c r="E29" s="2224"/>
      <c r="F29" s="2224"/>
      <c r="G29" s="2224"/>
      <c r="H29" s="2224"/>
      <c r="I29" s="2225"/>
      <c r="J29" s="2223">
        <f>SUM(J19:O28)</f>
        <v>272</v>
      </c>
      <c r="K29" s="2224"/>
      <c r="L29" s="2224"/>
      <c r="M29" s="2224"/>
      <c r="N29" s="2224"/>
      <c r="O29" s="2225"/>
      <c r="P29" s="2223">
        <f>SUM(P19:U28)</f>
        <v>74</v>
      </c>
      <c r="Q29" s="2224"/>
      <c r="R29" s="2224"/>
      <c r="S29" s="2224"/>
      <c r="T29" s="2224"/>
      <c r="U29" s="2225"/>
      <c r="V29" s="2223">
        <f>SUM(V19:AA28)</f>
        <v>160</v>
      </c>
      <c r="W29" s="2224"/>
      <c r="X29" s="2224"/>
      <c r="Y29" s="2224"/>
      <c r="Z29" s="2224"/>
      <c r="AA29" s="2225"/>
      <c r="AB29" s="2223">
        <f>SUM(AB19:AG28)</f>
        <v>23</v>
      </c>
      <c r="AC29" s="2224"/>
      <c r="AD29" s="2224"/>
      <c r="AE29" s="2224"/>
      <c r="AF29" s="2224"/>
      <c r="AG29" s="2225"/>
      <c r="AH29" s="2223">
        <f>SUM(AH19:AM28)</f>
        <v>15</v>
      </c>
      <c r="AI29" s="2224"/>
      <c r="AJ29" s="2224"/>
      <c r="AK29" s="2224"/>
      <c r="AL29" s="2224"/>
      <c r="AM29" s="2225"/>
      <c r="AN29" s="2223">
        <f>SUM(AN19:AS28)</f>
        <v>0</v>
      </c>
      <c r="AO29" s="2224"/>
      <c r="AP29" s="2224"/>
      <c r="AQ29" s="2224"/>
      <c r="AR29" s="2224"/>
      <c r="AS29" s="2225"/>
      <c r="AT29" s="2226">
        <f t="shared" si="1"/>
        <v>1</v>
      </c>
      <c r="AU29" s="2227"/>
      <c r="AV29" s="2227"/>
      <c r="AW29" s="2227"/>
      <c r="AX29" s="2227"/>
      <c r="AY29" s="2228"/>
      <c r="AZ29" s="1190"/>
      <c r="BA29" s="1190"/>
      <c r="BB29" s="1190"/>
      <c r="BC29" s="1190"/>
      <c r="BD29" s="1190"/>
      <c r="BE29" s="1194"/>
    </row>
    <row r="30" spans="1:58"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thickBot="1">
      <c r="A31" s="1190"/>
      <c r="B31" s="2229" t="s">
        <v>2429</v>
      </c>
      <c r="C31" s="2230"/>
      <c r="D31" s="2230"/>
      <c r="E31" s="2230"/>
      <c r="F31" s="2230"/>
      <c r="G31" s="2230"/>
      <c r="H31" s="2230"/>
      <c r="I31" s="2230"/>
      <c r="J31" s="2230"/>
      <c r="K31" s="2230"/>
      <c r="L31" s="2230"/>
      <c r="M31" s="2230"/>
      <c r="N31" s="2230"/>
      <c r="O31" s="2230"/>
      <c r="P31" s="2230"/>
      <c r="Q31" s="2230"/>
      <c r="R31" s="2230"/>
      <c r="S31" s="2230"/>
      <c r="T31" s="2230"/>
      <c r="U31" s="2230"/>
      <c r="V31" s="2230"/>
      <c r="W31" s="2230"/>
      <c r="X31" s="2230"/>
      <c r="Y31" s="2230"/>
      <c r="Z31" s="2230"/>
      <c r="AA31" s="2230"/>
      <c r="AB31" s="2230"/>
      <c r="AC31" s="2230"/>
      <c r="AD31" s="2230"/>
      <c r="AE31" s="2230"/>
      <c r="AF31" s="2230"/>
      <c r="AG31" s="2230"/>
      <c r="AH31" s="2230"/>
      <c r="AI31" s="2230"/>
      <c r="AJ31" s="2230"/>
      <c r="AK31" s="2230"/>
      <c r="AL31" s="2230"/>
      <c r="AM31" s="2230"/>
      <c r="AN31" s="2230"/>
      <c r="AO31" s="2230"/>
      <c r="AP31" s="2230"/>
      <c r="AQ31" s="2230"/>
      <c r="AR31" s="2230"/>
      <c r="AS31" s="2230"/>
      <c r="AT31" s="2230"/>
      <c r="AU31" s="2230"/>
      <c r="AV31" s="2230"/>
      <c r="AW31" s="2230"/>
      <c r="AX31" s="2230"/>
      <c r="AY31" s="2230"/>
      <c r="AZ31" s="2230"/>
      <c r="BA31" s="2230"/>
      <c r="BB31" s="2230"/>
      <c r="BC31" s="2230"/>
      <c r="BD31" s="2231"/>
      <c r="BE31" s="1194"/>
    </row>
    <row r="32" spans="1:58" thickBot="1">
      <c r="A32" s="1190"/>
      <c r="B32" s="2232" t="s">
        <v>2428</v>
      </c>
      <c r="C32" s="2233"/>
      <c r="D32" s="2233"/>
      <c r="E32" s="2233"/>
      <c r="F32" s="2233"/>
      <c r="G32" s="2233"/>
      <c r="H32" s="2233"/>
      <c r="I32" s="2233"/>
      <c r="J32" s="2236" t="s">
        <v>2427</v>
      </c>
      <c r="K32" s="2237"/>
      <c r="L32" s="2237"/>
      <c r="M32" s="2237"/>
      <c r="N32" s="2236" t="s">
        <v>2426</v>
      </c>
      <c r="O32" s="2237"/>
      <c r="P32" s="2237"/>
      <c r="Q32" s="2239"/>
      <c r="R32" s="2241" t="s">
        <v>2425</v>
      </c>
      <c r="S32" s="2242"/>
      <c r="T32" s="2242"/>
      <c r="U32" s="2242"/>
      <c r="V32" s="2242"/>
      <c r="W32" s="2242"/>
      <c r="X32" s="2242"/>
      <c r="Y32" s="2242"/>
      <c r="Z32" s="2242"/>
      <c r="AA32" s="2242"/>
      <c r="AB32" s="2242"/>
      <c r="AC32" s="2242"/>
      <c r="AD32" s="2242"/>
      <c r="AE32" s="2242"/>
      <c r="AF32" s="2242"/>
      <c r="AG32" s="2242"/>
      <c r="AH32" s="2242"/>
      <c r="AI32" s="2242"/>
      <c r="AJ32" s="2242"/>
      <c r="AK32" s="2242"/>
      <c r="AL32" s="2242"/>
      <c r="AM32" s="2242"/>
      <c r="AN32" s="2242"/>
      <c r="AO32" s="2242"/>
      <c r="AP32" s="2242"/>
      <c r="AQ32" s="2242"/>
      <c r="AR32" s="2242"/>
      <c r="AS32" s="2242"/>
      <c r="AT32" s="2242"/>
      <c r="AU32" s="2242"/>
      <c r="AV32" s="2242"/>
      <c r="AW32" s="2242"/>
      <c r="AX32" s="2242"/>
      <c r="AY32" s="2242"/>
      <c r="AZ32" s="2242"/>
      <c r="BA32" s="2242"/>
      <c r="BB32" s="2242"/>
      <c r="BC32" s="2242"/>
      <c r="BD32" s="2243"/>
      <c r="BE32" s="1194"/>
    </row>
    <row r="33" spans="1:58" ht="15" customHeight="1">
      <c r="A33" s="1190"/>
      <c r="B33" s="2234"/>
      <c r="C33" s="2235"/>
      <c r="D33" s="2235"/>
      <c r="E33" s="2235"/>
      <c r="F33" s="2235"/>
      <c r="G33" s="2235"/>
      <c r="H33" s="2235"/>
      <c r="I33" s="2235"/>
      <c r="J33" s="2238"/>
      <c r="K33" s="2238"/>
      <c r="L33" s="2238"/>
      <c r="M33" s="2238"/>
      <c r="N33" s="2238"/>
      <c r="O33" s="2238"/>
      <c r="P33" s="2238"/>
      <c r="Q33" s="2240"/>
      <c r="R33" s="2244" t="s">
        <v>2424</v>
      </c>
      <c r="S33" s="2245"/>
      <c r="T33" s="2245"/>
      <c r="U33" s="2245"/>
      <c r="V33" s="2245"/>
      <c r="W33" s="2245"/>
      <c r="X33" s="2245"/>
      <c r="Y33" s="2245"/>
      <c r="Z33" s="2245"/>
      <c r="AA33" s="2245"/>
      <c r="AB33" s="2245"/>
      <c r="AC33" s="2245"/>
      <c r="AD33" s="2245"/>
      <c r="AE33" s="2245"/>
      <c r="AF33" s="2245"/>
      <c r="AG33" s="2245"/>
      <c r="AH33" s="2245"/>
      <c r="AI33" s="2245"/>
      <c r="AJ33" s="2245"/>
      <c r="AK33" s="2245"/>
      <c r="AL33" s="2245"/>
      <c r="AM33" s="2245"/>
      <c r="AN33" s="2245"/>
      <c r="AO33" s="2245"/>
      <c r="AP33" s="2245"/>
      <c r="AQ33" s="2245"/>
      <c r="AR33" s="2245"/>
      <c r="AS33" s="2245"/>
      <c r="AT33" s="2245"/>
      <c r="AU33" s="2245"/>
      <c r="AV33" s="2245"/>
      <c r="AW33" s="2245"/>
      <c r="AX33" s="2245"/>
      <c r="AY33" s="2245"/>
      <c r="AZ33" s="2245"/>
      <c r="BA33" s="2245"/>
      <c r="BB33" s="2245"/>
      <c r="BC33" s="2245"/>
      <c r="BD33" s="2246"/>
      <c r="BE33" s="1194"/>
    </row>
    <row r="34" spans="1:58" ht="15.75" customHeight="1" thickBot="1">
      <c r="A34" s="1190"/>
      <c r="B34" s="2234"/>
      <c r="C34" s="2235"/>
      <c r="D34" s="2235"/>
      <c r="E34" s="2235"/>
      <c r="F34" s="2235"/>
      <c r="G34" s="2235"/>
      <c r="H34" s="2235"/>
      <c r="I34" s="2235"/>
      <c r="J34" s="2238"/>
      <c r="K34" s="2238"/>
      <c r="L34" s="2238"/>
      <c r="M34" s="2238"/>
      <c r="N34" s="2238"/>
      <c r="O34" s="2238"/>
      <c r="P34" s="2238"/>
      <c r="Q34" s="2240"/>
      <c r="R34" s="2247"/>
      <c r="S34" s="2248"/>
      <c r="T34" s="2248"/>
      <c r="U34" s="2248"/>
      <c r="V34" s="2248"/>
      <c r="W34" s="2248"/>
      <c r="X34" s="2248"/>
      <c r="Y34" s="2248"/>
      <c r="Z34" s="2248"/>
      <c r="AA34" s="2248"/>
      <c r="AB34" s="2248"/>
      <c r="AC34" s="2248"/>
      <c r="AD34" s="2248"/>
      <c r="AE34" s="2248"/>
      <c r="AF34" s="2248"/>
      <c r="AG34" s="2248"/>
      <c r="AH34" s="2248"/>
      <c r="AI34" s="2248"/>
      <c r="AJ34" s="2248"/>
      <c r="AK34" s="2248"/>
      <c r="AL34" s="2248"/>
      <c r="AM34" s="2248"/>
      <c r="AN34" s="2248"/>
      <c r="AO34" s="2248"/>
      <c r="AP34" s="2248"/>
      <c r="AQ34" s="2248"/>
      <c r="AR34" s="2248"/>
      <c r="AS34" s="2248"/>
      <c r="AT34" s="2248"/>
      <c r="AU34" s="2248"/>
      <c r="AV34" s="2248"/>
      <c r="AW34" s="2248"/>
      <c r="AX34" s="2248"/>
      <c r="AY34" s="2248"/>
      <c r="AZ34" s="2248"/>
      <c r="BA34" s="2248"/>
      <c r="BB34" s="2248"/>
      <c r="BC34" s="2248"/>
      <c r="BD34" s="2249"/>
      <c r="BE34" s="1194"/>
    </row>
    <row r="35" spans="1:58" ht="15.75" customHeight="1">
      <c r="A35" s="1190"/>
      <c r="B35" s="2234"/>
      <c r="C35" s="2235"/>
      <c r="D35" s="2235"/>
      <c r="E35" s="2235"/>
      <c r="F35" s="2235"/>
      <c r="G35" s="2235"/>
      <c r="H35" s="2235"/>
      <c r="I35" s="2235"/>
      <c r="J35" s="2238"/>
      <c r="K35" s="2238"/>
      <c r="L35" s="2238"/>
      <c r="M35" s="2238"/>
      <c r="N35" s="2238"/>
      <c r="O35" s="2238"/>
      <c r="P35" s="2238"/>
      <c r="Q35" s="2238"/>
      <c r="R35" s="2250">
        <v>0.3</v>
      </c>
      <c r="S35" s="2250"/>
      <c r="T35" s="2250"/>
      <c r="U35" s="2250"/>
      <c r="V35" s="2250">
        <v>0.4</v>
      </c>
      <c r="W35" s="2250"/>
      <c r="X35" s="2250"/>
      <c r="Y35" s="2250"/>
      <c r="Z35" s="2250">
        <v>0.5</v>
      </c>
      <c r="AA35" s="2250"/>
      <c r="AB35" s="2250"/>
      <c r="AC35" s="2250"/>
      <c r="AD35" s="2250">
        <v>0.6</v>
      </c>
      <c r="AE35" s="2250"/>
      <c r="AF35" s="2250"/>
      <c r="AG35" s="2250"/>
      <c r="AH35" s="2250">
        <v>0.7</v>
      </c>
      <c r="AI35" s="2250"/>
      <c r="AJ35" s="2250"/>
      <c r="AK35" s="2250"/>
      <c r="AL35" s="2255">
        <v>0.8</v>
      </c>
      <c r="AM35" s="2256"/>
      <c r="AN35" s="2256"/>
      <c r="AO35" s="2257"/>
      <c r="AP35" s="2258">
        <v>1.2</v>
      </c>
      <c r="AQ35" s="2259"/>
      <c r="AR35" s="2260"/>
      <c r="AS35" s="2252" t="s">
        <v>2423</v>
      </c>
      <c r="AT35" s="2253"/>
      <c r="AU35" s="2253"/>
      <c r="AV35" s="2253"/>
      <c r="AW35" s="2253"/>
      <c r="AX35" s="2261"/>
      <c r="AY35" s="2252" t="s">
        <v>2422</v>
      </c>
      <c r="AZ35" s="2253"/>
      <c r="BA35" s="2253"/>
      <c r="BB35" s="2253"/>
      <c r="BC35" s="2253"/>
      <c r="BD35" s="2254"/>
      <c r="BE35" s="1194"/>
    </row>
    <row r="36" spans="1:58" ht="15.75" customHeight="1">
      <c r="A36" s="1190"/>
      <c r="B36" s="2156" t="s">
        <v>2421</v>
      </c>
      <c r="C36" s="2157"/>
      <c r="D36" s="2157"/>
      <c r="E36" s="2157"/>
      <c r="F36" s="2157"/>
      <c r="G36" s="2157"/>
      <c r="H36" s="2157"/>
      <c r="I36" s="2157"/>
      <c r="J36" s="2221" t="s">
        <v>2420</v>
      </c>
      <c r="K36" s="2221"/>
      <c r="L36" s="2221"/>
      <c r="M36" s="2221"/>
      <c r="N36" s="2221">
        <v>55</v>
      </c>
      <c r="O36" s="2221"/>
      <c r="P36" s="2221"/>
      <c r="Q36" s="2221"/>
      <c r="R36" s="2222"/>
      <c r="S36" s="2222"/>
      <c r="T36" s="2222"/>
      <c r="U36" s="2222"/>
      <c r="V36" s="2222"/>
      <c r="W36" s="2222"/>
      <c r="X36" s="2222"/>
      <c r="Y36" s="2222"/>
      <c r="Z36" s="2222"/>
      <c r="AA36" s="2222"/>
      <c r="AB36" s="2222"/>
      <c r="AC36" s="2222"/>
      <c r="AD36" s="2222"/>
      <c r="AE36" s="2222"/>
      <c r="AF36" s="2222"/>
      <c r="AG36" s="2222"/>
      <c r="AH36" s="2222"/>
      <c r="AI36" s="2222"/>
      <c r="AJ36" s="2222"/>
      <c r="AK36" s="2222"/>
      <c r="AL36" s="2206"/>
      <c r="AM36" s="2207"/>
      <c r="AN36" s="2207"/>
      <c r="AO36" s="2208"/>
      <c r="AP36" s="2206"/>
      <c r="AQ36" s="2207"/>
      <c r="AR36" s="2208"/>
      <c r="AS36" s="2209">
        <f t="shared" ref="AS36:AS47" si="2">SUM(R36:AR36)</f>
        <v>0</v>
      </c>
      <c r="AT36" s="2210"/>
      <c r="AU36" s="2210"/>
      <c r="AV36" s="2210"/>
      <c r="AW36" s="2210"/>
      <c r="AX36" s="2211"/>
      <c r="AY36" s="2212">
        <f t="shared" ref="AY36:AY47" si="3">AS36/$J$29</f>
        <v>0</v>
      </c>
      <c r="AZ36" s="2213"/>
      <c r="BA36" s="2213"/>
      <c r="BB36" s="2213"/>
      <c r="BC36" s="2213"/>
      <c r="BD36" s="2214"/>
      <c r="BE36" s="1194"/>
    </row>
    <row r="37" spans="1:58" ht="15.75" customHeight="1">
      <c r="A37" s="1190"/>
      <c r="B37" s="2156" t="s">
        <v>2419</v>
      </c>
      <c r="C37" s="2157"/>
      <c r="D37" s="2157"/>
      <c r="E37" s="2157"/>
      <c r="F37" s="2157"/>
      <c r="G37" s="2157"/>
      <c r="H37" s="2157"/>
      <c r="I37" s="2157"/>
      <c r="J37" s="2221" t="s">
        <v>2418</v>
      </c>
      <c r="K37" s="2221"/>
      <c r="L37" s="2221"/>
      <c r="M37" s="2221"/>
      <c r="N37" s="2221">
        <v>55</v>
      </c>
      <c r="O37" s="2221"/>
      <c r="P37" s="2221"/>
      <c r="Q37" s="2221"/>
      <c r="R37" s="2222"/>
      <c r="S37" s="2222"/>
      <c r="T37" s="2222"/>
      <c r="U37" s="2222"/>
      <c r="V37" s="2222"/>
      <c r="W37" s="2222"/>
      <c r="X37" s="2222"/>
      <c r="Y37" s="2222"/>
      <c r="Z37" s="2222"/>
      <c r="AA37" s="2222"/>
      <c r="AB37" s="2222"/>
      <c r="AC37" s="2222"/>
      <c r="AD37" s="2222"/>
      <c r="AE37" s="2222"/>
      <c r="AF37" s="2222"/>
      <c r="AG37" s="2222"/>
      <c r="AH37" s="2222"/>
      <c r="AI37" s="2222"/>
      <c r="AJ37" s="2222"/>
      <c r="AK37" s="2222"/>
      <c r="AL37" s="2206"/>
      <c r="AM37" s="2207"/>
      <c r="AN37" s="2207"/>
      <c r="AO37" s="2208"/>
      <c r="AP37" s="2206"/>
      <c r="AQ37" s="2207"/>
      <c r="AR37" s="2208"/>
      <c r="AS37" s="2209">
        <f t="shared" si="2"/>
        <v>0</v>
      </c>
      <c r="AT37" s="2210"/>
      <c r="AU37" s="2210"/>
      <c r="AV37" s="2210"/>
      <c r="AW37" s="2210"/>
      <c r="AX37" s="2211"/>
      <c r="AY37" s="2212">
        <f t="shared" si="3"/>
        <v>0</v>
      </c>
      <c r="AZ37" s="2213"/>
      <c r="BA37" s="2213"/>
      <c r="BB37" s="2213"/>
      <c r="BC37" s="2213"/>
      <c r="BD37" s="2214"/>
      <c r="BE37" s="1194"/>
    </row>
    <row r="38" spans="1:58" ht="15.75" customHeight="1">
      <c r="A38" s="1190"/>
      <c r="B38" s="2156" t="s">
        <v>2417</v>
      </c>
      <c r="C38" s="2157"/>
      <c r="D38" s="2157"/>
      <c r="E38" s="2157"/>
      <c r="F38" s="2157"/>
      <c r="G38" s="2157"/>
      <c r="H38" s="2157"/>
      <c r="I38" s="2157"/>
      <c r="J38" s="2221" t="s">
        <v>2416</v>
      </c>
      <c r="K38" s="2221"/>
      <c r="L38" s="2221"/>
      <c r="M38" s="2221"/>
      <c r="N38" s="2221">
        <v>55</v>
      </c>
      <c r="O38" s="2221"/>
      <c r="P38" s="2221"/>
      <c r="Q38" s="2221"/>
      <c r="R38" s="2222"/>
      <c r="S38" s="2222"/>
      <c r="T38" s="2222"/>
      <c r="U38" s="2222"/>
      <c r="V38" s="2222"/>
      <c r="W38" s="2222"/>
      <c r="X38" s="2222"/>
      <c r="Y38" s="2222"/>
      <c r="Z38" s="2222"/>
      <c r="AA38" s="2222"/>
      <c r="AB38" s="2222"/>
      <c r="AC38" s="2222"/>
      <c r="AD38" s="2222"/>
      <c r="AE38" s="2222"/>
      <c r="AF38" s="2222"/>
      <c r="AG38" s="2222"/>
      <c r="AH38" s="2222"/>
      <c r="AI38" s="2222"/>
      <c r="AJ38" s="2222"/>
      <c r="AK38" s="2222"/>
      <c r="AL38" s="2206"/>
      <c r="AM38" s="2207"/>
      <c r="AN38" s="2207"/>
      <c r="AO38" s="2208"/>
      <c r="AP38" s="2206"/>
      <c r="AQ38" s="2207"/>
      <c r="AR38" s="2208"/>
      <c r="AS38" s="2209">
        <f t="shared" si="2"/>
        <v>0</v>
      </c>
      <c r="AT38" s="2210"/>
      <c r="AU38" s="2210"/>
      <c r="AV38" s="2210"/>
      <c r="AW38" s="2210"/>
      <c r="AX38" s="2211"/>
      <c r="AY38" s="2212">
        <f t="shared" si="3"/>
        <v>0</v>
      </c>
      <c r="AZ38" s="2213"/>
      <c r="BA38" s="2213"/>
      <c r="BB38" s="2213"/>
      <c r="BC38" s="2213"/>
      <c r="BD38" s="2214"/>
      <c r="BE38" s="1194"/>
    </row>
    <row r="39" spans="1:58" ht="15.75" customHeight="1">
      <c r="A39" s="1190"/>
      <c r="B39" s="2156" t="s">
        <v>2415</v>
      </c>
      <c r="C39" s="2157"/>
      <c r="D39" s="2157"/>
      <c r="E39" s="2157"/>
      <c r="F39" s="2157"/>
      <c r="G39" s="2157"/>
      <c r="H39" s="2157"/>
      <c r="I39" s="2157"/>
      <c r="J39" s="2221"/>
      <c r="K39" s="2221"/>
      <c r="L39" s="2221"/>
      <c r="M39" s="2221"/>
      <c r="N39" s="2221"/>
      <c r="O39" s="2221"/>
      <c r="P39" s="2221"/>
      <c r="Q39" s="2221"/>
      <c r="R39" s="2222"/>
      <c r="S39" s="2222"/>
      <c r="T39" s="2222"/>
      <c r="U39" s="2222"/>
      <c r="V39" s="2222"/>
      <c r="W39" s="2222"/>
      <c r="X39" s="2222"/>
      <c r="Y39" s="2222"/>
      <c r="Z39" s="2222"/>
      <c r="AA39" s="2222"/>
      <c r="AB39" s="2222"/>
      <c r="AC39" s="2222"/>
      <c r="AD39" s="2222"/>
      <c r="AE39" s="2222"/>
      <c r="AF39" s="2222"/>
      <c r="AG39" s="2222"/>
      <c r="AH39" s="2222"/>
      <c r="AI39" s="2222"/>
      <c r="AJ39" s="2222"/>
      <c r="AK39" s="2222"/>
      <c r="AL39" s="2206"/>
      <c r="AM39" s="2207"/>
      <c r="AN39" s="2207"/>
      <c r="AO39" s="2208"/>
      <c r="AP39" s="2206"/>
      <c r="AQ39" s="2207"/>
      <c r="AR39" s="2208"/>
      <c r="AS39" s="2209">
        <f t="shared" si="2"/>
        <v>0</v>
      </c>
      <c r="AT39" s="2210"/>
      <c r="AU39" s="2210"/>
      <c r="AV39" s="2210"/>
      <c r="AW39" s="2210"/>
      <c r="AX39" s="2211"/>
      <c r="AY39" s="2212">
        <f t="shared" si="3"/>
        <v>0</v>
      </c>
      <c r="AZ39" s="2213"/>
      <c r="BA39" s="2213"/>
      <c r="BB39" s="2213"/>
      <c r="BC39" s="2213"/>
      <c r="BD39" s="2214"/>
      <c r="BE39" s="1194"/>
    </row>
    <row r="40" spans="1:58" ht="15.75" customHeight="1">
      <c r="A40" s="1190"/>
      <c r="B40" s="2156" t="s">
        <v>2415</v>
      </c>
      <c r="C40" s="2157"/>
      <c r="D40" s="2157"/>
      <c r="E40" s="2157"/>
      <c r="F40" s="2157"/>
      <c r="G40" s="2157"/>
      <c r="H40" s="2157"/>
      <c r="I40" s="2157"/>
      <c r="J40" s="2221"/>
      <c r="K40" s="2221"/>
      <c r="L40" s="2221"/>
      <c r="M40" s="2221"/>
      <c r="N40" s="2221"/>
      <c r="O40" s="2221"/>
      <c r="P40" s="2221"/>
      <c r="Q40" s="2221"/>
      <c r="R40" s="2222"/>
      <c r="S40" s="2222"/>
      <c r="T40" s="2222"/>
      <c r="U40" s="2222"/>
      <c r="V40" s="2222"/>
      <c r="W40" s="2222"/>
      <c r="X40" s="2222"/>
      <c r="Y40" s="2222"/>
      <c r="Z40" s="2222"/>
      <c r="AA40" s="2222"/>
      <c r="AB40" s="2222"/>
      <c r="AC40" s="2222"/>
      <c r="AD40" s="2222"/>
      <c r="AE40" s="2222"/>
      <c r="AF40" s="2222"/>
      <c r="AG40" s="2222"/>
      <c r="AH40" s="2222"/>
      <c r="AI40" s="2222"/>
      <c r="AJ40" s="2222"/>
      <c r="AK40" s="2222"/>
      <c r="AL40" s="2206"/>
      <c r="AM40" s="2207"/>
      <c r="AN40" s="2207"/>
      <c r="AO40" s="2208"/>
      <c r="AP40" s="2206"/>
      <c r="AQ40" s="2207"/>
      <c r="AR40" s="2208"/>
      <c r="AS40" s="2209">
        <f t="shared" si="2"/>
        <v>0</v>
      </c>
      <c r="AT40" s="2210"/>
      <c r="AU40" s="2210"/>
      <c r="AV40" s="2210"/>
      <c r="AW40" s="2210"/>
      <c r="AX40" s="2211"/>
      <c r="AY40" s="2212">
        <f t="shared" si="3"/>
        <v>0</v>
      </c>
      <c r="AZ40" s="2213"/>
      <c r="BA40" s="2213"/>
      <c r="BB40" s="2213"/>
      <c r="BC40" s="2213"/>
      <c r="BD40" s="2214"/>
      <c r="BE40" s="1194"/>
    </row>
    <row r="41" spans="1:58" ht="15.75" customHeight="1">
      <c r="A41" s="1190"/>
      <c r="B41" s="2156" t="s">
        <v>2414</v>
      </c>
      <c r="C41" s="2157"/>
      <c r="D41" s="2157"/>
      <c r="E41" s="2157"/>
      <c r="F41" s="2157"/>
      <c r="G41" s="2157"/>
      <c r="H41" s="2157"/>
      <c r="I41" s="2157"/>
      <c r="J41" s="2221"/>
      <c r="K41" s="2221"/>
      <c r="L41" s="2221"/>
      <c r="M41" s="2221"/>
      <c r="N41" s="2221"/>
      <c r="O41" s="2221"/>
      <c r="P41" s="2221"/>
      <c r="Q41" s="2221"/>
      <c r="R41" s="2222"/>
      <c r="S41" s="2222"/>
      <c r="T41" s="2222"/>
      <c r="U41" s="2222"/>
      <c r="V41" s="2222"/>
      <c r="W41" s="2222"/>
      <c r="X41" s="2222"/>
      <c r="Y41" s="2222"/>
      <c r="Z41" s="2222"/>
      <c r="AA41" s="2222"/>
      <c r="AB41" s="2222"/>
      <c r="AC41" s="2222"/>
      <c r="AD41" s="2222"/>
      <c r="AE41" s="2222"/>
      <c r="AF41" s="2222"/>
      <c r="AG41" s="2222"/>
      <c r="AH41" s="2222"/>
      <c r="AI41" s="2222"/>
      <c r="AJ41" s="2222"/>
      <c r="AK41" s="2222"/>
      <c r="AL41" s="2206"/>
      <c r="AM41" s="2207"/>
      <c r="AN41" s="2207"/>
      <c r="AO41" s="2208"/>
      <c r="AP41" s="2206"/>
      <c r="AQ41" s="2207"/>
      <c r="AR41" s="2208"/>
      <c r="AS41" s="2209">
        <f t="shared" si="2"/>
        <v>0</v>
      </c>
      <c r="AT41" s="2210"/>
      <c r="AU41" s="2210"/>
      <c r="AV41" s="2210"/>
      <c r="AW41" s="2210"/>
      <c r="AX41" s="2211"/>
      <c r="AY41" s="2212">
        <f t="shared" si="3"/>
        <v>0</v>
      </c>
      <c r="AZ41" s="2213"/>
      <c r="BA41" s="2213"/>
      <c r="BB41" s="2213"/>
      <c r="BC41" s="2213"/>
      <c r="BD41" s="2214"/>
      <c r="BE41" s="1194"/>
    </row>
    <row r="42" spans="1:58" ht="15.75" customHeight="1">
      <c r="A42" s="1190"/>
      <c r="B42" s="2156" t="s">
        <v>2414</v>
      </c>
      <c r="C42" s="2157"/>
      <c r="D42" s="2157"/>
      <c r="E42" s="2157"/>
      <c r="F42" s="2157"/>
      <c r="G42" s="2157"/>
      <c r="H42" s="2157"/>
      <c r="I42" s="2157"/>
      <c r="J42" s="2221"/>
      <c r="K42" s="2221"/>
      <c r="L42" s="2221"/>
      <c r="M42" s="2221"/>
      <c r="N42" s="2221"/>
      <c r="O42" s="2221"/>
      <c r="P42" s="2221"/>
      <c r="Q42" s="2221"/>
      <c r="R42" s="2222"/>
      <c r="S42" s="2222"/>
      <c r="T42" s="2222"/>
      <c r="U42" s="2222"/>
      <c r="V42" s="2222"/>
      <c r="W42" s="2222"/>
      <c r="X42" s="2222"/>
      <c r="Y42" s="2222"/>
      <c r="Z42" s="2222"/>
      <c r="AA42" s="2222"/>
      <c r="AB42" s="2222"/>
      <c r="AC42" s="2222"/>
      <c r="AD42" s="2222"/>
      <c r="AE42" s="2222"/>
      <c r="AF42" s="2222"/>
      <c r="AG42" s="2222"/>
      <c r="AH42" s="2222"/>
      <c r="AI42" s="2222"/>
      <c r="AJ42" s="2222"/>
      <c r="AK42" s="2222"/>
      <c r="AL42" s="2206"/>
      <c r="AM42" s="2207"/>
      <c r="AN42" s="2207"/>
      <c r="AO42" s="2208"/>
      <c r="AP42" s="2206"/>
      <c r="AQ42" s="2207"/>
      <c r="AR42" s="2208"/>
      <c r="AS42" s="2209">
        <f t="shared" si="2"/>
        <v>0</v>
      </c>
      <c r="AT42" s="2210"/>
      <c r="AU42" s="2210"/>
      <c r="AV42" s="2210"/>
      <c r="AW42" s="2210"/>
      <c r="AX42" s="2211"/>
      <c r="AY42" s="2212">
        <f t="shared" si="3"/>
        <v>0</v>
      </c>
      <c r="AZ42" s="2213"/>
      <c r="BA42" s="2213"/>
      <c r="BB42" s="2213"/>
      <c r="BC42" s="2213"/>
      <c r="BD42" s="2214"/>
      <c r="BE42" s="1194"/>
    </row>
    <row r="43" spans="1:58" ht="15.75" customHeight="1">
      <c r="A43" s="1190"/>
      <c r="B43" s="2161" t="s">
        <v>2413</v>
      </c>
      <c r="C43" s="2162"/>
      <c r="D43" s="2162"/>
      <c r="E43" s="2162"/>
      <c r="F43" s="2162"/>
      <c r="G43" s="2162"/>
      <c r="H43" s="2162"/>
      <c r="I43" s="2162"/>
      <c r="J43" s="2221"/>
      <c r="K43" s="2221"/>
      <c r="L43" s="2221"/>
      <c r="M43" s="2221"/>
      <c r="N43" s="2221"/>
      <c r="O43" s="2221"/>
      <c r="P43" s="2221"/>
      <c r="Q43" s="2221"/>
      <c r="R43" s="2222"/>
      <c r="S43" s="2222"/>
      <c r="T43" s="2222"/>
      <c r="U43" s="2222"/>
      <c r="V43" s="2222"/>
      <c r="W43" s="2222"/>
      <c r="X43" s="2222"/>
      <c r="Y43" s="2222"/>
      <c r="Z43" s="2222"/>
      <c r="AA43" s="2222"/>
      <c r="AB43" s="2222"/>
      <c r="AC43" s="2222"/>
      <c r="AD43" s="2222"/>
      <c r="AE43" s="2222"/>
      <c r="AF43" s="2222"/>
      <c r="AG43" s="2222"/>
      <c r="AH43" s="2222"/>
      <c r="AI43" s="2222"/>
      <c r="AJ43" s="2222"/>
      <c r="AK43" s="2222"/>
      <c r="AL43" s="2206"/>
      <c r="AM43" s="2207"/>
      <c r="AN43" s="2207"/>
      <c r="AO43" s="2208"/>
      <c r="AP43" s="2206"/>
      <c r="AQ43" s="2207"/>
      <c r="AR43" s="2208"/>
      <c r="AS43" s="2209">
        <f t="shared" si="2"/>
        <v>0</v>
      </c>
      <c r="AT43" s="2210"/>
      <c r="AU43" s="2210"/>
      <c r="AV43" s="2210"/>
      <c r="AW43" s="2210"/>
      <c r="AX43" s="2211"/>
      <c r="AY43" s="2212">
        <f t="shared" si="3"/>
        <v>0</v>
      </c>
      <c r="AZ43" s="2213"/>
      <c r="BA43" s="2213"/>
      <c r="BB43" s="2213"/>
      <c r="BC43" s="2213"/>
      <c r="BD43" s="2214"/>
      <c r="BE43" s="1194"/>
    </row>
    <row r="44" spans="1:58" ht="15.75" customHeight="1">
      <c r="A44" s="1190"/>
      <c r="B44" s="2161" t="s">
        <v>2412</v>
      </c>
      <c r="C44" s="2162"/>
      <c r="D44" s="2162"/>
      <c r="E44" s="2162"/>
      <c r="F44" s="2162"/>
      <c r="G44" s="2162"/>
      <c r="H44" s="2162"/>
      <c r="I44" s="2162"/>
      <c r="J44" s="2221"/>
      <c r="K44" s="2221"/>
      <c r="L44" s="2221"/>
      <c r="M44" s="2221"/>
      <c r="N44" s="2221"/>
      <c r="O44" s="2221"/>
      <c r="P44" s="2221"/>
      <c r="Q44" s="2221"/>
      <c r="R44" s="2222"/>
      <c r="S44" s="2222"/>
      <c r="T44" s="2222"/>
      <c r="U44" s="2222"/>
      <c r="V44" s="2222"/>
      <c r="W44" s="2222"/>
      <c r="X44" s="2222"/>
      <c r="Y44" s="2222"/>
      <c r="Z44" s="2222"/>
      <c r="AA44" s="2222"/>
      <c r="AB44" s="2222"/>
      <c r="AC44" s="2222"/>
      <c r="AD44" s="2222"/>
      <c r="AE44" s="2222"/>
      <c r="AF44" s="2222"/>
      <c r="AG44" s="2222"/>
      <c r="AH44" s="2222"/>
      <c r="AI44" s="2222"/>
      <c r="AJ44" s="2222"/>
      <c r="AK44" s="2222"/>
      <c r="AL44" s="2206"/>
      <c r="AM44" s="2207"/>
      <c r="AN44" s="2207"/>
      <c r="AO44" s="2208"/>
      <c r="AP44" s="2206"/>
      <c r="AQ44" s="2207"/>
      <c r="AR44" s="2208"/>
      <c r="AS44" s="2209">
        <f t="shared" si="2"/>
        <v>0</v>
      </c>
      <c r="AT44" s="2210"/>
      <c r="AU44" s="2210"/>
      <c r="AV44" s="2210"/>
      <c r="AW44" s="2210"/>
      <c r="AX44" s="2211"/>
      <c r="AY44" s="2212">
        <f t="shared" si="3"/>
        <v>0</v>
      </c>
      <c r="AZ44" s="2213"/>
      <c r="BA44" s="2213"/>
      <c r="BB44" s="2213"/>
      <c r="BC44" s="2213"/>
      <c r="BD44" s="2214"/>
      <c r="BE44" s="1194"/>
    </row>
    <row r="45" spans="1:58" ht="15.75" customHeight="1">
      <c r="A45" s="1190"/>
      <c r="B45" s="2161" t="s">
        <v>2411</v>
      </c>
      <c r="C45" s="2162"/>
      <c r="D45" s="2162"/>
      <c r="E45" s="2162"/>
      <c r="F45" s="2162"/>
      <c r="G45" s="2162"/>
      <c r="H45" s="2162"/>
      <c r="I45" s="2162"/>
      <c r="J45" s="2221"/>
      <c r="K45" s="2221"/>
      <c r="L45" s="2221"/>
      <c r="M45" s="2221"/>
      <c r="N45" s="2221"/>
      <c r="O45" s="2221"/>
      <c r="P45" s="2221"/>
      <c r="Q45" s="2221"/>
      <c r="R45" s="2222"/>
      <c r="S45" s="2222"/>
      <c r="T45" s="2222"/>
      <c r="U45" s="2222"/>
      <c r="V45" s="2222"/>
      <c r="W45" s="2222"/>
      <c r="X45" s="2222"/>
      <c r="Y45" s="2222"/>
      <c r="Z45" s="2222"/>
      <c r="AA45" s="2222"/>
      <c r="AB45" s="2222"/>
      <c r="AC45" s="2222"/>
      <c r="AD45" s="2222"/>
      <c r="AE45" s="2222"/>
      <c r="AF45" s="2222"/>
      <c r="AG45" s="2222"/>
      <c r="AH45" s="2222"/>
      <c r="AI45" s="2222"/>
      <c r="AJ45" s="2222"/>
      <c r="AK45" s="2222"/>
      <c r="AL45" s="2206"/>
      <c r="AM45" s="2207"/>
      <c r="AN45" s="2207"/>
      <c r="AO45" s="2208"/>
      <c r="AP45" s="2206"/>
      <c r="AQ45" s="2207"/>
      <c r="AR45" s="2208"/>
      <c r="AS45" s="2209">
        <f t="shared" si="2"/>
        <v>0</v>
      </c>
      <c r="AT45" s="2210"/>
      <c r="AU45" s="2210"/>
      <c r="AV45" s="2210"/>
      <c r="AW45" s="2210"/>
      <c r="AX45" s="2211"/>
      <c r="AY45" s="2212">
        <f t="shared" si="3"/>
        <v>0</v>
      </c>
      <c r="AZ45" s="2213"/>
      <c r="BA45" s="2213"/>
      <c r="BB45" s="2213"/>
      <c r="BC45" s="2213"/>
      <c r="BD45" s="2214"/>
      <c r="BE45" s="1194"/>
    </row>
    <row r="46" spans="1:58" ht="15.75" customHeight="1">
      <c r="A46" s="1190"/>
      <c r="B46" s="2161" t="s">
        <v>2335</v>
      </c>
      <c r="C46" s="2162"/>
      <c r="D46" s="2162"/>
      <c r="E46" s="2162"/>
      <c r="F46" s="2162"/>
      <c r="G46" s="2162"/>
      <c r="H46" s="2162"/>
      <c r="I46" s="2162"/>
      <c r="J46" s="2221"/>
      <c r="K46" s="2221"/>
      <c r="L46" s="2221"/>
      <c r="M46" s="2221"/>
      <c r="N46" s="2221">
        <v>99</v>
      </c>
      <c r="O46" s="2221"/>
      <c r="P46" s="2221"/>
      <c r="Q46" s="2221"/>
      <c r="R46" s="2222"/>
      <c r="S46" s="2222"/>
      <c r="T46" s="2222"/>
      <c r="U46" s="2222"/>
      <c r="V46" s="2222"/>
      <c r="W46" s="2222"/>
      <c r="X46" s="2222"/>
      <c r="Y46" s="2222"/>
      <c r="Z46" s="2222"/>
      <c r="AA46" s="2222"/>
      <c r="AB46" s="2222"/>
      <c r="AC46" s="2222"/>
      <c r="AD46" s="2222"/>
      <c r="AE46" s="2222"/>
      <c r="AF46" s="2222"/>
      <c r="AG46" s="2222"/>
      <c r="AH46" s="2222"/>
      <c r="AI46" s="2222"/>
      <c r="AJ46" s="2222"/>
      <c r="AK46" s="2222"/>
      <c r="AL46" s="2206"/>
      <c r="AM46" s="2207"/>
      <c r="AN46" s="2207"/>
      <c r="AO46" s="2208"/>
      <c r="AP46" s="2206"/>
      <c r="AQ46" s="2207"/>
      <c r="AR46" s="2208"/>
      <c r="AS46" s="2209">
        <f t="shared" si="2"/>
        <v>0</v>
      </c>
      <c r="AT46" s="2210"/>
      <c r="AU46" s="2210"/>
      <c r="AV46" s="2210"/>
      <c r="AW46" s="2210"/>
      <c r="AX46" s="2211"/>
      <c r="AY46" s="2212">
        <f t="shared" si="3"/>
        <v>0</v>
      </c>
      <c r="AZ46" s="2213"/>
      <c r="BA46" s="2213"/>
      <c r="BB46" s="2213"/>
      <c r="BC46" s="2213"/>
      <c r="BD46" s="2214"/>
      <c r="BE46" s="1194"/>
    </row>
    <row r="47" spans="1:58" ht="15.75" customHeight="1" thickBot="1">
      <c r="A47" s="1190"/>
      <c r="B47" s="2215" t="s">
        <v>299</v>
      </c>
      <c r="C47" s="2216"/>
      <c r="D47" s="2216"/>
      <c r="E47" s="2216"/>
      <c r="F47" s="2216"/>
      <c r="G47" s="2216"/>
      <c r="H47" s="2216"/>
      <c r="I47" s="2216"/>
      <c r="J47" s="2217"/>
      <c r="K47" s="2217"/>
      <c r="L47" s="2217"/>
      <c r="M47" s="2217"/>
      <c r="N47" s="2217"/>
      <c r="O47" s="2217"/>
      <c r="P47" s="2217"/>
      <c r="Q47" s="2217"/>
      <c r="R47" s="2202"/>
      <c r="S47" s="2202"/>
      <c r="T47" s="2202"/>
      <c r="U47" s="2202"/>
      <c r="V47" s="2202"/>
      <c r="W47" s="2202"/>
      <c r="X47" s="2202"/>
      <c r="Y47" s="2202"/>
      <c r="Z47" s="2202"/>
      <c r="AA47" s="2202"/>
      <c r="AB47" s="2202"/>
      <c r="AC47" s="2202"/>
      <c r="AD47" s="2202"/>
      <c r="AE47" s="2202"/>
      <c r="AF47" s="2202"/>
      <c r="AG47" s="2202"/>
      <c r="AH47" s="2202"/>
      <c r="AI47" s="2202"/>
      <c r="AJ47" s="2202"/>
      <c r="AK47" s="2202"/>
      <c r="AL47" s="2203"/>
      <c r="AM47" s="2204"/>
      <c r="AN47" s="2204"/>
      <c r="AO47" s="2205"/>
      <c r="AP47" s="2203"/>
      <c r="AQ47" s="2204"/>
      <c r="AR47" s="2205"/>
      <c r="AS47" s="2209">
        <f t="shared" si="2"/>
        <v>0</v>
      </c>
      <c r="AT47" s="2210"/>
      <c r="AU47" s="2210"/>
      <c r="AV47" s="2210"/>
      <c r="AW47" s="2210"/>
      <c r="AX47" s="2211"/>
      <c r="AY47" s="2218">
        <f t="shared" si="3"/>
        <v>0</v>
      </c>
      <c r="AZ47" s="2219"/>
      <c r="BA47" s="2219"/>
      <c r="BB47" s="2219"/>
      <c r="BC47" s="2219"/>
      <c r="BD47" s="2220"/>
      <c r="BE47" s="1194"/>
    </row>
    <row r="48" spans="1:58" ht="15.75" customHeight="1">
      <c r="A48" s="1190"/>
      <c r="B48" s="1196" t="s">
        <v>2410</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2409</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68" t="s">
        <v>2408</v>
      </c>
      <c r="C50" s="2024"/>
      <c r="D50" s="2024"/>
      <c r="E50" s="2024"/>
      <c r="F50" s="2024"/>
      <c r="G50" s="2024"/>
      <c r="H50" s="2024"/>
      <c r="I50" s="2024"/>
      <c r="J50" s="2024"/>
      <c r="K50" s="2024"/>
      <c r="L50" s="2024"/>
      <c r="M50" s="2024"/>
      <c r="N50" s="2024"/>
      <c r="O50" s="2024"/>
      <c r="P50" s="2024"/>
      <c r="Q50" s="2024"/>
      <c r="R50" s="2024"/>
      <c r="S50" s="2024"/>
      <c r="T50" s="2024"/>
      <c r="U50" s="2024"/>
      <c r="V50" s="2024"/>
      <c r="W50" s="2024"/>
      <c r="X50" s="2024"/>
      <c r="Y50" s="2024"/>
      <c r="Z50" s="2024"/>
      <c r="AA50" s="2024"/>
      <c r="AB50" s="2024"/>
      <c r="AC50" s="2024"/>
      <c r="AD50" s="2024"/>
      <c r="AE50" s="2024"/>
      <c r="AF50" s="2024"/>
      <c r="AG50" s="2024"/>
      <c r="AH50" s="2024"/>
      <c r="AI50" s="2024"/>
      <c r="AJ50" s="2024"/>
      <c r="AK50" s="2024"/>
      <c r="AL50" s="2024"/>
      <c r="AM50" s="2024"/>
      <c r="AN50" s="2024"/>
      <c r="AO50" s="2025"/>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131" t="s">
        <v>2401</v>
      </c>
      <c r="C51" s="2099"/>
      <c r="D51" s="2099"/>
      <c r="E51" s="2099"/>
      <c r="F51" s="2099"/>
      <c r="G51" s="2099"/>
      <c r="H51" s="2099"/>
      <c r="I51" s="2099"/>
      <c r="J51" s="2099" t="s">
        <v>2407</v>
      </c>
      <c r="K51" s="2099"/>
      <c r="L51" s="2099"/>
      <c r="M51" s="2099"/>
      <c r="N51" s="2099"/>
      <c r="O51" s="2099"/>
      <c r="P51" s="2099"/>
      <c r="Q51" s="2099"/>
      <c r="R51" s="2200" t="s">
        <v>2406</v>
      </c>
      <c r="S51" s="2200"/>
      <c r="T51" s="2200"/>
      <c r="U51" s="2200"/>
      <c r="V51" s="2200"/>
      <c r="W51" s="2200"/>
      <c r="X51" s="2200"/>
      <c r="Y51" s="2200"/>
      <c r="Z51" s="2200" t="s">
        <v>2405</v>
      </c>
      <c r="AA51" s="2200"/>
      <c r="AB51" s="2200"/>
      <c r="AC51" s="2200"/>
      <c r="AD51" s="2200"/>
      <c r="AE51" s="2200"/>
      <c r="AF51" s="2200"/>
      <c r="AG51" s="2200"/>
      <c r="AH51" s="2200" t="s">
        <v>2404</v>
      </c>
      <c r="AI51" s="2200"/>
      <c r="AJ51" s="2200"/>
      <c r="AK51" s="2200"/>
      <c r="AL51" s="2200"/>
      <c r="AM51" s="2200"/>
      <c r="AN51" s="2200"/>
      <c r="AO51" s="2201"/>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2161" t="s">
        <v>2403</v>
      </c>
      <c r="C52" s="2162"/>
      <c r="D52" s="2162"/>
      <c r="E52" s="2162"/>
      <c r="F52" s="2162"/>
      <c r="G52" s="2162"/>
      <c r="H52" s="2162"/>
      <c r="I52" s="2162"/>
      <c r="J52" s="1985">
        <v>0</v>
      </c>
      <c r="K52" s="1985"/>
      <c r="L52" s="1985"/>
      <c r="M52" s="1985"/>
      <c r="N52" s="1985"/>
      <c r="O52" s="1985"/>
      <c r="P52" s="1985"/>
      <c r="Q52" s="1985"/>
      <c r="R52" s="2192">
        <v>0</v>
      </c>
      <c r="S52" s="2192"/>
      <c r="T52" s="2192"/>
      <c r="U52" s="2192"/>
      <c r="V52" s="2192"/>
      <c r="W52" s="2192"/>
      <c r="X52" s="2192"/>
      <c r="Y52" s="2192"/>
      <c r="Z52" s="2193">
        <v>0</v>
      </c>
      <c r="AA52" s="2193"/>
      <c r="AB52" s="2193"/>
      <c r="AC52" s="2193"/>
      <c r="AD52" s="2193"/>
      <c r="AE52" s="2193"/>
      <c r="AF52" s="2193"/>
      <c r="AG52" s="2193"/>
      <c r="AH52" s="2194"/>
      <c r="AI52" s="2194"/>
      <c r="AJ52" s="2194"/>
      <c r="AK52" s="2194"/>
      <c r="AL52" s="2194"/>
      <c r="AM52" s="2194"/>
      <c r="AN52" s="2194"/>
      <c r="AO52" s="2195"/>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2161" t="s">
        <v>2402</v>
      </c>
      <c r="C53" s="2162"/>
      <c r="D53" s="2162"/>
      <c r="E53" s="2162"/>
      <c r="F53" s="2162"/>
      <c r="G53" s="2162"/>
      <c r="H53" s="2162"/>
      <c r="I53" s="2162"/>
      <c r="J53" s="1985">
        <v>0</v>
      </c>
      <c r="K53" s="1985"/>
      <c r="L53" s="1985"/>
      <c r="M53" s="1985"/>
      <c r="N53" s="1985"/>
      <c r="O53" s="1985"/>
      <c r="P53" s="1985"/>
      <c r="Q53" s="1985"/>
      <c r="R53" s="2192">
        <v>0</v>
      </c>
      <c r="S53" s="2192"/>
      <c r="T53" s="2192"/>
      <c r="U53" s="2192"/>
      <c r="V53" s="2192"/>
      <c r="W53" s="2192"/>
      <c r="X53" s="2192"/>
      <c r="Y53" s="2192"/>
      <c r="Z53" s="2193">
        <v>0</v>
      </c>
      <c r="AA53" s="2193"/>
      <c r="AB53" s="2193"/>
      <c r="AC53" s="2193"/>
      <c r="AD53" s="2193"/>
      <c r="AE53" s="2193"/>
      <c r="AF53" s="2193"/>
      <c r="AG53" s="2193"/>
      <c r="AH53" s="2194"/>
      <c r="AI53" s="2194"/>
      <c r="AJ53" s="2194"/>
      <c r="AK53" s="2194"/>
      <c r="AL53" s="2194"/>
      <c r="AM53" s="2194"/>
      <c r="AN53" s="2194"/>
      <c r="AO53" s="2195"/>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2161"/>
      <c r="C54" s="2162"/>
      <c r="D54" s="2162"/>
      <c r="E54" s="2162"/>
      <c r="F54" s="2162"/>
      <c r="G54" s="2162"/>
      <c r="H54" s="2162"/>
      <c r="I54" s="2162"/>
      <c r="J54" s="1985"/>
      <c r="K54" s="1985"/>
      <c r="L54" s="1985"/>
      <c r="M54" s="1985"/>
      <c r="N54" s="1985"/>
      <c r="O54" s="1985"/>
      <c r="P54" s="1985"/>
      <c r="Q54" s="1985"/>
      <c r="R54" s="2192"/>
      <c r="S54" s="2192"/>
      <c r="T54" s="2192"/>
      <c r="U54" s="2192"/>
      <c r="V54" s="2192"/>
      <c r="W54" s="2192"/>
      <c r="X54" s="2192"/>
      <c r="Y54" s="2192"/>
      <c r="Z54" s="2193"/>
      <c r="AA54" s="2193"/>
      <c r="AB54" s="2193"/>
      <c r="AC54" s="2193"/>
      <c r="AD54" s="2193"/>
      <c r="AE54" s="2193"/>
      <c r="AF54" s="2193"/>
      <c r="AG54" s="2193"/>
      <c r="AH54" s="2194"/>
      <c r="AI54" s="2194"/>
      <c r="AJ54" s="2194"/>
      <c r="AK54" s="2194"/>
      <c r="AL54" s="2194"/>
      <c r="AM54" s="2194"/>
      <c r="AN54" s="2194"/>
      <c r="AO54" s="2195"/>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2161"/>
      <c r="C55" s="2162"/>
      <c r="D55" s="2162"/>
      <c r="E55" s="2162"/>
      <c r="F55" s="2162"/>
      <c r="G55" s="2162"/>
      <c r="H55" s="2162"/>
      <c r="I55" s="2162"/>
      <c r="J55" s="1985"/>
      <c r="K55" s="1985"/>
      <c r="L55" s="1985"/>
      <c r="M55" s="1985"/>
      <c r="N55" s="1985"/>
      <c r="O55" s="1985"/>
      <c r="P55" s="1985"/>
      <c r="Q55" s="1985"/>
      <c r="R55" s="2192"/>
      <c r="S55" s="2192"/>
      <c r="T55" s="2192"/>
      <c r="U55" s="2192"/>
      <c r="V55" s="2192"/>
      <c r="W55" s="2192"/>
      <c r="X55" s="2192"/>
      <c r="Y55" s="2192"/>
      <c r="Z55" s="2193"/>
      <c r="AA55" s="2193"/>
      <c r="AB55" s="2193"/>
      <c r="AC55" s="2193"/>
      <c r="AD55" s="2193"/>
      <c r="AE55" s="2193"/>
      <c r="AF55" s="2193"/>
      <c r="AG55" s="2193"/>
      <c r="AH55" s="2194"/>
      <c r="AI55" s="2194"/>
      <c r="AJ55" s="2194"/>
      <c r="AK55" s="2194"/>
      <c r="AL55" s="2194"/>
      <c r="AM55" s="2194"/>
      <c r="AN55" s="2194"/>
      <c r="AO55" s="2195"/>
      <c r="AP55" s="1192"/>
      <c r="AQ55" s="1192"/>
      <c r="AR55" s="1192"/>
      <c r="AS55" s="1192"/>
      <c r="AT55" s="1192" t="s">
        <v>249</v>
      </c>
      <c r="AU55" s="1192"/>
      <c r="AV55" s="1192"/>
      <c r="AW55" s="1192"/>
      <c r="AX55" s="1190"/>
      <c r="AY55" s="1190"/>
      <c r="AZ55" s="1190"/>
      <c r="BA55" s="1190"/>
      <c r="BB55" s="1190"/>
      <c r="BC55" s="1190"/>
      <c r="BD55" s="1190"/>
      <c r="BE55" s="1194"/>
    </row>
    <row r="56" spans="1:77" ht="15.75" customHeight="1">
      <c r="A56" s="1190"/>
      <c r="B56" s="2161"/>
      <c r="C56" s="2162"/>
      <c r="D56" s="2162"/>
      <c r="E56" s="2162"/>
      <c r="F56" s="2162"/>
      <c r="G56" s="2162"/>
      <c r="H56" s="2162"/>
      <c r="I56" s="2162"/>
      <c r="J56" s="1985"/>
      <c r="K56" s="1985"/>
      <c r="L56" s="1985"/>
      <c r="M56" s="1985"/>
      <c r="N56" s="1985"/>
      <c r="O56" s="1985"/>
      <c r="P56" s="1985"/>
      <c r="Q56" s="1985"/>
      <c r="R56" s="2192"/>
      <c r="S56" s="2192"/>
      <c r="T56" s="2192"/>
      <c r="U56" s="2192"/>
      <c r="V56" s="2192"/>
      <c r="W56" s="2192"/>
      <c r="X56" s="2192"/>
      <c r="Y56" s="2192"/>
      <c r="Z56" s="2193"/>
      <c r="AA56" s="2193"/>
      <c r="AB56" s="2193"/>
      <c r="AC56" s="2193"/>
      <c r="AD56" s="2193"/>
      <c r="AE56" s="2193"/>
      <c r="AF56" s="2193"/>
      <c r="AG56" s="2193"/>
      <c r="AH56" s="2194"/>
      <c r="AI56" s="2194"/>
      <c r="AJ56" s="2194"/>
      <c r="AK56" s="2194"/>
      <c r="AL56" s="2194"/>
      <c r="AM56" s="2194"/>
      <c r="AN56" s="2194"/>
      <c r="AO56" s="2195"/>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129" t="s">
        <v>1585</v>
      </c>
      <c r="C57" s="2130"/>
      <c r="D57" s="2130"/>
      <c r="E57" s="2130"/>
      <c r="F57" s="2130"/>
      <c r="G57" s="2130"/>
      <c r="H57" s="2130"/>
      <c r="I57" s="2130"/>
      <c r="J57" s="2130"/>
      <c r="K57" s="2130"/>
      <c r="L57" s="2130"/>
      <c r="M57" s="2130"/>
      <c r="N57" s="2130"/>
      <c r="O57" s="2130"/>
      <c r="P57" s="2130"/>
      <c r="Q57" s="2130"/>
      <c r="R57" s="2196">
        <f>SUM(R52:Y56)</f>
        <v>0</v>
      </c>
      <c r="S57" s="2196"/>
      <c r="T57" s="2196"/>
      <c r="U57" s="2196"/>
      <c r="V57" s="2196"/>
      <c r="W57" s="2196"/>
      <c r="X57" s="2196"/>
      <c r="Y57" s="2196"/>
      <c r="Z57" s="2197">
        <f>SUM(Z52:AG56)</f>
        <v>0</v>
      </c>
      <c r="AA57" s="2197"/>
      <c r="AB57" s="2197"/>
      <c r="AC57" s="2197"/>
      <c r="AD57" s="2197"/>
      <c r="AE57" s="2197"/>
      <c r="AF57" s="2197"/>
      <c r="AG57" s="2197"/>
      <c r="AH57" s="2198"/>
      <c r="AI57" s="2198"/>
      <c r="AJ57" s="2198"/>
      <c r="AK57" s="2198"/>
      <c r="AL57" s="2198"/>
      <c r="AM57" s="2198"/>
      <c r="AN57" s="2198"/>
      <c r="AO57" s="2199"/>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189" t="s">
        <v>2401</v>
      </c>
      <c r="C59" s="2190"/>
      <c r="D59" s="2190"/>
      <c r="E59" s="2190"/>
      <c r="F59" s="2190"/>
      <c r="G59" s="2190"/>
      <c r="H59" s="2190"/>
      <c r="I59" s="2191"/>
      <c r="J59" s="2097" t="s">
        <v>2400</v>
      </c>
      <c r="K59" s="2097"/>
      <c r="L59" s="2097"/>
      <c r="M59" s="2097"/>
      <c r="N59" s="2097"/>
      <c r="O59" s="2097"/>
      <c r="P59" s="2097"/>
      <c r="Q59" s="2097"/>
      <c r="R59" s="2097"/>
      <c r="S59" s="2097"/>
      <c r="T59" s="2097"/>
      <c r="U59" s="2097"/>
      <c r="V59" s="2097"/>
      <c r="W59" s="2097"/>
      <c r="X59" s="2097"/>
      <c r="Y59" s="2097"/>
      <c r="Z59" s="2097"/>
      <c r="AA59" s="2097"/>
      <c r="AB59" s="2097"/>
      <c r="AC59" s="2097"/>
      <c r="AD59" s="2097"/>
      <c r="AE59" s="2097"/>
      <c r="AF59" s="2097"/>
      <c r="AG59" s="2097"/>
      <c r="AH59" s="2097"/>
      <c r="AI59" s="2097"/>
      <c r="AJ59" s="2097"/>
      <c r="AK59" s="2097"/>
      <c r="AL59" s="2097"/>
      <c r="AM59" s="2097"/>
      <c r="AN59" s="2097"/>
      <c r="AO59" s="2097"/>
      <c r="AP59" s="2097"/>
      <c r="AQ59" s="2097"/>
      <c r="AR59" s="2097"/>
      <c r="AS59" s="2097"/>
      <c r="AT59" s="2097"/>
      <c r="AU59" s="2097"/>
      <c r="AV59" s="2097"/>
      <c r="AW59" s="2098"/>
      <c r="AX59" s="1190"/>
      <c r="AY59" s="1190"/>
      <c r="AZ59" s="1190"/>
      <c r="BA59" s="1190"/>
      <c r="BB59" s="1190"/>
      <c r="BC59" s="1190"/>
      <c r="BD59" s="1190"/>
      <c r="BE59" s="1194"/>
    </row>
    <row r="60" spans="1:77" ht="15.75" customHeight="1">
      <c r="A60" s="1190"/>
      <c r="B60" s="2181" t="str">
        <f>IF(B52="", "", B52)</f>
        <v>Services Company 1</v>
      </c>
      <c r="C60" s="2182"/>
      <c r="D60" s="2182"/>
      <c r="E60" s="2182"/>
      <c r="F60" s="2182"/>
      <c r="G60" s="2182"/>
      <c r="H60" s="2182"/>
      <c r="I60" s="2183"/>
      <c r="J60" s="2184"/>
      <c r="K60" s="1988"/>
      <c r="L60" s="1988"/>
      <c r="M60" s="1988"/>
      <c r="N60" s="1988"/>
      <c r="O60" s="1988"/>
      <c r="P60" s="1988"/>
      <c r="Q60" s="1988"/>
      <c r="R60" s="1988"/>
      <c r="S60" s="1988"/>
      <c r="T60" s="1988"/>
      <c r="U60" s="1988"/>
      <c r="V60" s="1988"/>
      <c r="W60" s="1988"/>
      <c r="X60" s="1988"/>
      <c r="Y60" s="1988"/>
      <c r="Z60" s="1988"/>
      <c r="AA60" s="1988"/>
      <c r="AB60" s="1988"/>
      <c r="AC60" s="1988"/>
      <c r="AD60" s="1988"/>
      <c r="AE60" s="1988"/>
      <c r="AF60" s="1988"/>
      <c r="AG60" s="1988"/>
      <c r="AH60" s="1988"/>
      <c r="AI60" s="1988"/>
      <c r="AJ60" s="1988"/>
      <c r="AK60" s="1988"/>
      <c r="AL60" s="1988"/>
      <c r="AM60" s="1988"/>
      <c r="AN60" s="1988"/>
      <c r="AO60" s="1988"/>
      <c r="AP60" s="1988"/>
      <c r="AQ60" s="1988"/>
      <c r="AR60" s="1988"/>
      <c r="AS60" s="1988"/>
      <c r="AT60" s="1988"/>
      <c r="AU60" s="1988"/>
      <c r="AV60" s="1988"/>
      <c r="AW60" s="1989"/>
      <c r="AX60" s="1190"/>
      <c r="AY60" s="1190"/>
      <c r="AZ60" s="1190"/>
      <c r="BA60" s="1190"/>
      <c r="BB60" s="1190"/>
      <c r="BC60" s="1190"/>
      <c r="BD60" s="1190"/>
      <c r="BE60" s="1194"/>
    </row>
    <row r="61" spans="1:77" ht="15.75" customHeight="1">
      <c r="A61" s="1190"/>
      <c r="B61" s="2181" t="str">
        <f>IF(B53="", "", B53)</f>
        <v>Services Company 2</v>
      </c>
      <c r="C61" s="2182"/>
      <c r="D61" s="2182"/>
      <c r="E61" s="2182"/>
      <c r="F61" s="2182"/>
      <c r="G61" s="2182"/>
      <c r="H61" s="2182"/>
      <c r="I61" s="2183"/>
      <c r="J61" s="2184"/>
      <c r="K61" s="1988"/>
      <c r="L61" s="1988"/>
      <c r="M61" s="1988"/>
      <c r="N61" s="1988"/>
      <c r="O61" s="1988"/>
      <c r="P61" s="1988"/>
      <c r="Q61" s="1988"/>
      <c r="R61" s="1988"/>
      <c r="S61" s="1988"/>
      <c r="T61" s="1988"/>
      <c r="U61" s="1988"/>
      <c r="V61" s="1988"/>
      <c r="W61" s="1988"/>
      <c r="X61" s="1988"/>
      <c r="Y61" s="1988"/>
      <c r="Z61" s="1988"/>
      <c r="AA61" s="1988"/>
      <c r="AB61" s="1988"/>
      <c r="AC61" s="1988"/>
      <c r="AD61" s="1988"/>
      <c r="AE61" s="1988"/>
      <c r="AF61" s="1988"/>
      <c r="AG61" s="1988"/>
      <c r="AH61" s="1988"/>
      <c r="AI61" s="1988"/>
      <c r="AJ61" s="1988"/>
      <c r="AK61" s="1988"/>
      <c r="AL61" s="1988"/>
      <c r="AM61" s="1988"/>
      <c r="AN61" s="1988"/>
      <c r="AO61" s="1988"/>
      <c r="AP61" s="1988"/>
      <c r="AQ61" s="1988"/>
      <c r="AR61" s="1988"/>
      <c r="AS61" s="1988"/>
      <c r="AT61" s="1988"/>
      <c r="AU61" s="1988"/>
      <c r="AV61" s="1988"/>
      <c r="AW61" s="1989"/>
      <c r="AX61" s="1190"/>
      <c r="AY61" s="1190"/>
      <c r="AZ61" s="1190"/>
      <c r="BA61" s="1190"/>
      <c r="BB61" s="1190"/>
      <c r="BC61" s="1190"/>
      <c r="BD61" s="1190"/>
      <c r="BE61" s="1194"/>
    </row>
    <row r="62" spans="1:77" ht="15.75" customHeight="1">
      <c r="A62" s="1190"/>
      <c r="B62" s="2181" t="str">
        <f>IF(B54="", "", B54)</f>
        <v/>
      </c>
      <c r="C62" s="2182"/>
      <c r="D62" s="2182"/>
      <c r="E62" s="2182"/>
      <c r="F62" s="2182"/>
      <c r="G62" s="2182"/>
      <c r="H62" s="2182"/>
      <c r="I62" s="2183"/>
      <c r="J62" s="2184"/>
      <c r="K62" s="1988"/>
      <c r="L62" s="1988"/>
      <c r="M62" s="1988"/>
      <c r="N62" s="1988"/>
      <c r="O62" s="1988"/>
      <c r="P62" s="1988"/>
      <c r="Q62" s="1988"/>
      <c r="R62" s="1988"/>
      <c r="S62" s="1988"/>
      <c r="T62" s="1988"/>
      <c r="U62" s="1988"/>
      <c r="V62" s="1988"/>
      <c r="W62" s="1988"/>
      <c r="X62" s="1988"/>
      <c r="Y62" s="1988"/>
      <c r="Z62" s="1988"/>
      <c r="AA62" s="1988"/>
      <c r="AB62" s="1988"/>
      <c r="AC62" s="1988"/>
      <c r="AD62" s="1988"/>
      <c r="AE62" s="1988"/>
      <c r="AF62" s="1988"/>
      <c r="AG62" s="1988"/>
      <c r="AH62" s="1988"/>
      <c r="AI62" s="1988"/>
      <c r="AJ62" s="1988"/>
      <c r="AK62" s="1988"/>
      <c r="AL62" s="1988"/>
      <c r="AM62" s="1988"/>
      <c r="AN62" s="1988"/>
      <c r="AO62" s="1988"/>
      <c r="AP62" s="1988"/>
      <c r="AQ62" s="1988"/>
      <c r="AR62" s="1988"/>
      <c r="AS62" s="1988"/>
      <c r="AT62" s="1988"/>
      <c r="AU62" s="1988"/>
      <c r="AV62" s="1988"/>
      <c r="AW62" s="1989"/>
      <c r="AX62" s="1190"/>
      <c r="AY62" s="1190"/>
      <c r="AZ62" s="1190"/>
      <c r="BA62" s="1190"/>
      <c r="BB62" s="1190"/>
      <c r="BC62" s="1190"/>
      <c r="BD62" s="1190"/>
      <c r="BE62" s="1194"/>
    </row>
    <row r="63" spans="1:77" ht="15.75" customHeight="1">
      <c r="A63" s="1190"/>
      <c r="B63" s="2181" t="str">
        <f>IF(B55="", "", B55)</f>
        <v/>
      </c>
      <c r="C63" s="2182"/>
      <c r="D63" s="2182"/>
      <c r="E63" s="2182"/>
      <c r="F63" s="2182"/>
      <c r="G63" s="2182"/>
      <c r="H63" s="2182"/>
      <c r="I63" s="2183"/>
      <c r="J63" s="2184"/>
      <c r="K63" s="1988"/>
      <c r="L63" s="1988"/>
      <c r="M63" s="1988"/>
      <c r="N63" s="1988"/>
      <c r="O63" s="1988"/>
      <c r="P63" s="1988"/>
      <c r="Q63" s="1988"/>
      <c r="R63" s="1988"/>
      <c r="S63" s="1988"/>
      <c r="T63" s="1988"/>
      <c r="U63" s="1988"/>
      <c r="V63" s="1988"/>
      <c r="W63" s="1988"/>
      <c r="X63" s="1988"/>
      <c r="Y63" s="1988"/>
      <c r="Z63" s="1988"/>
      <c r="AA63" s="1988"/>
      <c r="AB63" s="1988"/>
      <c r="AC63" s="1988"/>
      <c r="AD63" s="1988"/>
      <c r="AE63" s="1988"/>
      <c r="AF63" s="1988"/>
      <c r="AG63" s="1988"/>
      <c r="AH63" s="1988"/>
      <c r="AI63" s="1988"/>
      <c r="AJ63" s="1988"/>
      <c r="AK63" s="1988"/>
      <c r="AL63" s="1988"/>
      <c r="AM63" s="1988"/>
      <c r="AN63" s="1988"/>
      <c r="AO63" s="1988"/>
      <c r="AP63" s="1988"/>
      <c r="AQ63" s="1988"/>
      <c r="AR63" s="1988"/>
      <c r="AS63" s="1988"/>
      <c r="AT63" s="1988"/>
      <c r="AU63" s="1988"/>
      <c r="AV63" s="1988"/>
      <c r="AW63" s="1989"/>
      <c r="AX63" s="1190"/>
      <c r="AY63" s="1190"/>
      <c r="AZ63" s="1190"/>
      <c r="BA63" s="1190"/>
      <c r="BB63" s="1190"/>
      <c r="BC63" s="1190"/>
      <c r="BD63" s="1190"/>
      <c r="BE63" s="1194"/>
    </row>
    <row r="64" spans="1:77" ht="15.75" customHeight="1" thickBot="1">
      <c r="A64" s="1190"/>
      <c r="B64" s="2185" t="str">
        <f>IF(B56="", "", B56)</f>
        <v/>
      </c>
      <c r="C64" s="2186"/>
      <c r="D64" s="2186"/>
      <c r="E64" s="2186"/>
      <c r="F64" s="2186"/>
      <c r="G64" s="2186"/>
      <c r="H64" s="2186"/>
      <c r="I64" s="2187"/>
      <c r="J64" s="2188"/>
      <c r="K64" s="2171"/>
      <c r="L64" s="2171"/>
      <c r="M64" s="2171"/>
      <c r="N64" s="2171"/>
      <c r="O64" s="2171"/>
      <c r="P64" s="2171"/>
      <c r="Q64" s="2171"/>
      <c r="R64" s="2171"/>
      <c r="S64" s="2171"/>
      <c r="T64" s="2171"/>
      <c r="U64" s="2171"/>
      <c r="V64" s="2171"/>
      <c r="W64" s="2171"/>
      <c r="X64" s="2171"/>
      <c r="Y64" s="2171"/>
      <c r="Z64" s="2171"/>
      <c r="AA64" s="2171"/>
      <c r="AB64" s="2171"/>
      <c r="AC64" s="2171"/>
      <c r="AD64" s="2171"/>
      <c r="AE64" s="2171"/>
      <c r="AF64" s="2171"/>
      <c r="AG64" s="2171"/>
      <c r="AH64" s="2171"/>
      <c r="AI64" s="2171"/>
      <c r="AJ64" s="2171"/>
      <c r="AK64" s="2171"/>
      <c r="AL64" s="2171"/>
      <c r="AM64" s="2171"/>
      <c r="AN64" s="2171"/>
      <c r="AO64" s="2171"/>
      <c r="AP64" s="2171"/>
      <c r="AQ64" s="2171"/>
      <c r="AR64" s="2171"/>
      <c r="AS64" s="2171"/>
      <c r="AT64" s="2171"/>
      <c r="AU64" s="2171"/>
      <c r="AV64" s="2171"/>
      <c r="AW64" s="2172"/>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2399</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2096" t="s">
        <v>2398</v>
      </c>
      <c r="C68" s="2097"/>
      <c r="D68" s="2097"/>
      <c r="E68" s="2097"/>
      <c r="F68" s="2097"/>
      <c r="G68" s="2097"/>
      <c r="H68" s="2097"/>
      <c r="I68" s="2097"/>
      <c r="J68" s="2097"/>
      <c r="K68" s="2097"/>
      <c r="L68" s="2097"/>
      <c r="M68" s="2097"/>
      <c r="N68" s="2097"/>
      <c r="O68" s="2097"/>
      <c r="P68" s="2097"/>
      <c r="Q68" s="2097"/>
      <c r="R68" s="2097"/>
      <c r="S68" s="2097"/>
      <c r="T68" s="2097"/>
      <c r="U68" s="2097"/>
      <c r="V68" s="2097"/>
      <c r="W68" s="2097"/>
      <c r="X68" s="2097"/>
      <c r="Y68" s="2097"/>
      <c r="Z68" s="2097"/>
      <c r="AA68" s="2098"/>
      <c r="AB68" s="1190"/>
      <c r="AC68" s="2022" t="s">
        <v>2397</v>
      </c>
      <c r="AD68" s="2023"/>
      <c r="AE68" s="2023"/>
      <c r="AF68" s="2023"/>
      <c r="AG68" s="2023"/>
      <c r="AH68" s="2023"/>
      <c r="AI68" s="2023"/>
      <c r="AJ68" s="2023"/>
      <c r="AK68" s="2023"/>
      <c r="AL68" s="2023"/>
      <c r="AM68" s="2023"/>
      <c r="AN68" s="2023"/>
      <c r="AO68" s="2023"/>
      <c r="AP68" s="2023"/>
      <c r="AQ68" s="2023"/>
      <c r="AR68" s="2023"/>
      <c r="AS68" s="2023"/>
      <c r="AT68" s="2023"/>
      <c r="AU68" s="2023"/>
      <c r="AV68" s="2173" t="s">
        <v>669</v>
      </c>
      <c r="AW68" s="2079"/>
      <c r="AX68" s="2079"/>
      <c r="AY68" s="2079"/>
      <c r="AZ68" s="2079"/>
      <c r="BA68" s="2079"/>
      <c r="BB68" s="2079"/>
      <c r="BC68" s="2080"/>
      <c r="BD68" s="1190"/>
      <c r="BE68" s="1194"/>
      <c r="BM68" s="1199" t="s">
        <v>2396</v>
      </c>
    </row>
    <row r="69" spans="1:94" ht="15.75" customHeight="1" thickTop="1" thickBot="1">
      <c r="A69" s="1190"/>
      <c r="B69" s="2174" t="s">
        <v>2395</v>
      </c>
      <c r="C69" s="2175"/>
      <c r="D69" s="2175"/>
      <c r="E69" s="2175"/>
      <c r="F69" s="2175"/>
      <c r="G69" s="2175"/>
      <c r="H69" s="2175"/>
      <c r="I69" s="2175"/>
      <c r="J69" s="2175"/>
      <c r="K69" s="2175"/>
      <c r="L69" s="2175"/>
      <c r="M69" s="2175"/>
      <c r="N69" s="2175"/>
      <c r="O69" s="2176" t="s">
        <v>2394</v>
      </c>
      <c r="P69" s="2177"/>
      <c r="Q69" s="2177"/>
      <c r="R69" s="2177"/>
      <c r="S69" s="2177"/>
      <c r="T69" s="2177"/>
      <c r="U69" s="2177"/>
      <c r="V69" s="2177"/>
      <c r="W69" s="2177"/>
      <c r="X69" s="2177"/>
      <c r="Y69" s="2177"/>
      <c r="Z69" s="2177"/>
      <c r="AA69" s="2178"/>
      <c r="AB69" s="1190"/>
      <c r="AC69" s="2179" t="s">
        <v>2393</v>
      </c>
      <c r="AD69" s="2180"/>
      <c r="AE69" s="2180"/>
      <c r="AF69" s="2180"/>
      <c r="AG69" s="2180"/>
      <c r="AH69" s="2180"/>
      <c r="AI69" s="2180"/>
      <c r="AJ69" s="2180"/>
      <c r="AK69" s="2180"/>
      <c r="AL69" s="2180"/>
      <c r="AM69" s="2180"/>
      <c r="AN69" s="2180"/>
      <c r="AO69" s="2180"/>
      <c r="AP69" s="2180"/>
      <c r="AQ69" s="2180"/>
      <c r="AR69" s="2180"/>
      <c r="AS69" s="2180"/>
      <c r="AT69" s="2180"/>
      <c r="AU69" s="2180"/>
      <c r="AV69" s="2173" t="s">
        <v>669</v>
      </c>
      <c r="AW69" s="2079"/>
      <c r="AX69" s="2079"/>
      <c r="AY69" s="2079"/>
      <c r="AZ69" s="2079"/>
      <c r="BA69" s="2079"/>
      <c r="BB69" s="2079"/>
      <c r="BC69" s="2080"/>
      <c r="BD69" s="1190"/>
      <c r="BE69" s="1194"/>
      <c r="BM69" s="1200" t="s">
        <v>545</v>
      </c>
    </row>
    <row r="70" spans="1:94" ht="15.75" customHeight="1">
      <c r="A70" s="1190"/>
      <c r="B70" s="2156" t="s">
        <v>2392</v>
      </c>
      <c r="C70" s="2157"/>
      <c r="D70" s="2157"/>
      <c r="E70" s="2157"/>
      <c r="F70" s="2157"/>
      <c r="G70" s="2157"/>
      <c r="H70" s="2157"/>
      <c r="I70" s="2157"/>
      <c r="J70" s="2157"/>
      <c r="K70" s="2157"/>
      <c r="L70" s="2157"/>
      <c r="M70" s="2157"/>
      <c r="N70" s="2157"/>
      <c r="O70" s="2030">
        <v>0</v>
      </c>
      <c r="P70" s="2030"/>
      <c r="Q70" s="2030"/>
      <c r="R70" s="2030"/>
      <c r="S70" s="2030"/>
      <c r="T70" s="2030"/>
      <c r="U70" s="2030"/>
      <c r="V70" s="2030"/>
      <c r="W70" s="2030"/>
      <c r="X70" s="2030"/>
      <c r="Y70" s="2030"/>
      <c r="Z70" s="2030"/>
      <c r="AA70" s="2158"/>
      <c r="AB70" s="1190"/>
      <c r="AC70" s="2068" t="s">
        <v>2391</v>
      </c>
      <c r="AD70" s="2024"/>
      <c r="AE70" s="2024"/>
      <c r="AF70" s="2167"/>
      <c r="AG70" s="2167"/>
      <c r="AH70" s="2167"/>
      <c r="AI70" s="2167"/>
      <c r="AJ70" s="2167"/>
      <c r="AK70" s="2167"/>
      <c r="AL70" s="2167"/>
      <c r="AM70" s="2167"/>
      <c r="AN70" s="2167"/>
      <c r="AO70" s="2167"/>
      <c r="AP70" s="2167"/>
      <c r="AQ70" s="2167"/>
      <c r="AR70" s="2167"/>
      <c r="AS70" s="2167"/>
      <c r="AT70" s="2167"/>
      <c r="AU70" s="2168"/>
      <c r="AV70" s="1190"/>
      <c r="AW70" s="1190"/>
      <c r="AX70" s="1190"/>
      <c r="AY70" s="1190"/>
      <c r="AZ70" s="1190"/>
      <c r="BA70" s="1190"/>
      <c r="BB70" s="1190"/>
      <c r="BC70" s="1190"/>
      <c r="BD70" s="1190"/>
      <c r="BE70" s="1194"/>
      <c r="BM70" s="1201" t="s">
        <v>669</v>
      </c>
    </row>
    <row r="71" spans="1:94" ht="15.75" customHeight="1" thickBot="1">
      <c r="A71" s="1190"/>
      <c r="B71" s="2156" t="s">
        <v>2390</v>
      </c>
      <c r="C71" s="2157"/>
      <c r="D71" s="2157"/>
      <c r="E71" s="2157"/>
      <c r="F71" s="2157"/>
      <c r="G71" s="2157"/>
      <c r="H71" s="2157"/>
      <c r="I71" s="2157"/>
      <c r="J71" s="2157"/>
      <c r="K71" s="2157"/>
      <c r="L71" s="2157"/>
      <c r="M71" s="2157"/>
      <c r="N71" s="2157"/>
      <c r="O71" s="2030">
        <v>0</v>
      </c>
      <c r="P71" s="2030"/>
      <c r="Q71" s="2030"/>
      <c r="R71" s="2030"/>
      <c r="S71" s="2030"/>
      <c r="T71" s="2030"/>
      <c r="U71" s="2030"/>
      <c r="V71" s="2030"/>
      <c r="W71" s="2030"/>
      <c r="X71" s="2030"/>
      <c r="Y71" s="2030"/>
      <c r="Z71" s="2030"/>
      <c r="AA71" s="2158"/>
      <c r="AB71" s="1190"/>
      <c r="AC71" s="2169" t="s">
        <v>2389</v>
      </c>
      <c r="AD71" s="2170"/>
      <c r="AE71" s="2170"/>
      <c r="AF71" s="2171"/>
      <c r="AG71" s="2171"/>
      <c r="AH71" s="2171"/>
      <c r="AI71" s="2171"/>
      <c r="AJ71" s="2171"/>
      <c r="AK71" s="2171"/>
      <c r="AL71" s="2171"/>
      <c r="AM71" s="2171"/>
      <c r="AN71" s="2171"/>
      <c r="AO71" s="2171"/>
      <c r="AP71" s="2171"/>
      <c r="AQ71" s="2171"/>
      <c r="AR71" s="2171"/>
      <c r="AS71" s="2171"/>
      <c r="AT71" s="2171"/>
      <c r="AU71" s="2172"/>
      <c r="AV71" s="1190"/>
      <c r="AW71" s="1190"/>
      <c r="AX71" s="1190"/>
      <c r="AY71" s="1190"/>
      <c r="AZ71" s="1190"/>
      <c r="BA71" s="1190"/>
      <c r="BB71" s="1190"/>
      <c r="BC71" s="1190"/>
      <c r="BD71" s="1190"/>
      <c r="BE71" s="1194"/>
      <c r="BM71" s="1187" t="s">
        <v>2388</v>
      </c>
    </row>
    <row r="72" spans="1:94" ht="15.75" customHeight="1">
      <c r="A72" s="1190"/>
      <c r="B72" s="2156" t="s">
        <v>2387</v>
      </c>
      <c r="C72" s="2157"/>
      <c r="D72" s="2157"/>
      <c r="E72" s="2157"/>
      <c r="F72" s="2157"/>
      <c r="G72" s="2157"/>
      <c r="H72" s="2157"/>
      <c r="I72" s="2157"/>
      <c r="J72" s="2157"/>
      <c r="K72" s="2157"/>
      <c r="L72" s="2157"/>
      <c r="M72" s="2157"/>
      <c r="N72" s="2157"/>
      <c r="O72" s="2030">
        <v>0</v>
      </c>
      <c r="P72" s="2030"/>
      <c r="Q72" s="2030"/>
      <c r="R72" s="2030"/>
      <c r="S72" s="2030"/>
      <c r="T72" s="2030"/>
      <c r="U72" s="2030"/>
      <c r="V72" s="2030"/>
      <c r="W72" s="2030"/>
      <c r="X72" s="2030"/>
      <c r="Y72" s="2030"/>
      <c r="Z72" s="2030"/>
      <c r="AA72" s="2158"/>
      <c r="AB72" s="1190"/>
      <c r="AC72" s="2159" t="s">
        <v>2386</v>
      </c>
      <c r="AD72" s="2160"/>
      <c r="AE72" s="2160"/>
      <c r="AF72" s="2160"/>
      <c r="AG72" s="2160"/>
      <c r="AH72" s="2160"/>
      <c r="AI72" s="2160"/>
      <c r="AJ72" s="2160"/>
      <c r="AK72" s="2160"/>
      <c r="AL72" s="2160"/>
      <c r="AM72" s="2160"/>
      <c r="AN72" s="2160"/>
      <c r="AO72" s="2160"/>
      <c r="AP72" s="2160"/>
      <c r="AQ72" s="2160"/>
      <c r="AR72" s="2160"/>
      <c r="AS72" s="2160"/>
      <c r="AT72" s="2160"/>
      <c r="AU72" s="2160"/>
      <c r="AV72" s="2024"/>
      <c r="AW72" s="2024"/>
      <c r="AX72" s="2024"/>
      <c r="AY72" s="2024"/>
      <c r="AZ72" s="2024"/>
      <c r="BA72" s="2024"/>
      <c r="BB72" s="2024"/>
      <c r="BC72" s="2025"/>
      <c r="BD72" s="1190"/>
      <c r="BE72" s="1194"/>
    </row>
    <row r="73" spans="1:94" ht="15.75" customHeight="1">
      <c r="A73" s="1190"/>
      <c r="B73" s="2161" t="s">
        <v>2385</v>
      </c>
      <c r="C73" s="2162"/>
      <c r="D73" s="2162"/>
      <c r="E73" s="2162"/>
      <c r="F73" s="2162"/>
      <c r="G73" s="2162"/>
      <c r="H73" s="2162"/>
      <c r="I73" s="2162"/>
      <c r="J73" s="2162"/>
      <c r="K73" s="2162"/>
      <c r="L73" s="2162"/>
      <c r="M73" s="2162"/>
      <c r="N73" s="2162"/>
      <c r="O73" s="2030">
        <v>0</v>
      </c>
      <c r="P73" s="2030"/>
      <c r="Q73" s="2030"/>
      <c r="R73" s="2030"/>
      <c r="S73" s="2030"/>
      <c r="T73" s="2030"/>
      <c r="U73" s="2030"/>
      <c r="V73" s="2030"/>
      <c r="W73" s="2030"/>
      <c r="X73" s="2030"/>
      <c r="Y73" s="2030"/>
      <c r="Z73" s="2030"/>
      <c r="AA73" s="2158"/>
      <c r="AB73" s="1190"/>
      <c r="AC73" s="2039" t="s">
        <v>2330</v>
      </c>
      <c r="AD73" s="2040"/>
      <c r="AE73" s="2040"/>
      <c r="AF73" s="2040"/>
      <c r="AG73" s="2040"/>
      <c r="AH73" s="2040"/>
      <c r="AI73" s="2040"/>
      <c r="AJ73" s="2040"/>
      <c r="AK73" s="2040"/>
      <c r="AL73" s="2040"/>
      <c r="AM73" s="2040"/>
      <c r="AN73" s="2040"/>
      <c r="AO73" s="2040"/>
      <c r="AP73" s="2040"/>
      <c r="AQ73" s="2040"/>
      <c r="AR73" s="2040"/>
      <c r="AS73" s="2040"/>
      <c r="AT73" s="2040"/>
      <c r="AU73" s="2040"/>
      <c r="AV73" s="2040"/>
      <c r="AW73" s="2040"/>
      <c r="AX73" s="2040"/>
      <c r="AY73" s="2040"/>
      <c r="AZ73" s="2040"/>
      <c r="BA73" s="2040"/>
      <c r="BB73" s="2040"/>
      <c r="BC73" s="2041"/>
      <c r="BD73" s="1190"/>
      <c r="BE73" s="1194"/>
      <c r="CK73" s="1188"/>
      <c r="CL73" s="1188"/>
      <c r="CM73" s="1188"/>
      <c r="CN73" s="1188"/>
      <c r="CO73" s="1188"/>
      <c r="CP73" s="1188"/>
    </row>
    <row r="74" spans="1:94" ht="15.75" customHeight="1">
      <c r="A74" s="1190"/>
      <c r="B74" s="1984"/>
      <c r="C74" s="1985"/>
      <c r="D74" s="1985"/>
      <c r="E74" s="1985"/>
      <c r="F74" s="1985"/>
      <c r="G74" s="1985"/>
      <c r="H74" s="1985"/>
      <c r="I74" s="1985"/>
      <c r="J74" s="1985"/>
      <c r="K74" s="1985"/>
      <c r="L74" s="1985"/>
      <c r="M74" s="1985"/>
      <c r="N74" s="1985"/>
      <c r="O74" s="2030"/>
      <c r="P74" s="2030"/>
      <c r="Q74" s="2030"/>
      <c r="R74" s="2030"/>
      <c r="S74" s="2030"/>
      <c r="T74" s="2030"/>
      <c r="U74" s="2030"/>
      <c r="V74" s="2030"/>
      <c r="W74" s="2030"/>
      <c r="X74" s="2030"/>
      <c r="Y74" s="2030"/>
      <c r="Z74" s="2030"/>
      <c r="AA74" s="2158"/>
      <c r="AB74" s="1190"/>
      <c r="AC74" s="2039"/>
      <c r="AD74" s="2040"/>
      <c r="AE74" s="2040"/>
      <c r="AF74" s="2040"/>
      <c r="AG74" s="2040"/>
      <c r="AH74" s="2040"/>
      <c r="AI74" s="2040"/>
      <c r="AJ74" s="2040"/>
      <c r="AK74" s="2040"/>
      <c r="AL74" s="2040"/>
      <c r="AM74" s="2040"/>
      <c r="AN74" s="2040"/>
      <c r="AO74" s="2040"/>
      <c r="AP74" s="2040"/>
      <c r="AQ74" s="2040"/>
      <c r="AR74" s="2040"/>
      <c r="AS74" s="2040"/>
      <c r="AT74" s="2040"/>
      <c r="AU74" s="2040"/>
      <c r="AV74" s="2040"/>
      <c r="AW74" s="2040"/>
      <c r="AX74" s="2040"/>
      <c r="AY74" s="2040"/>
      <c r="AZ74" s="2040"/>
      <c r="BA74" s="2040"/>
      <c r="BB74" s="2040"/>
      <c r="BC74" s="2041"/>
      <c r="BD74" s="1190"/>
      <c r="BE74" s="1194"/>
      <c r="CK74" s="1188"/>
      <c r="CL74" s="1188"/>
      <c r="CM74" s="1188"/>
      <c r="CN74" s="1188"/>
      <c r="CO74" s="1188"/>
      <c r="CP74" s="1188"/>
    </row>
    <row r="75" spans="1:94" ht="15.75" customHeight="1" thickBot="1">
      <c r="A75" s="1190"/>
      <c r="B75" s="2163" t="s">
        <v>124</v>
      </c>
      <c r="C75" s="2164"/>
      <c r="D75" s="2164"/>
      <c r="E75" s="2164"/>
      <c r="F75" s="2164"/>
      <c r="G75" s="2164"/>
      <c r="H75" s="2164"/>
      <c r="I75" s="2164"/>
      <c r="J75" s="2164"/>
      <c r="K75" s="2164"/>
      <c r="L75" s="2164"/>
      <c r="M75" s="2164"/>
      <c r="N75" s="2164"/>
      <c r="O75" s="2165">
        <f>SUM(O70:AA74)</f>
        <v>0</v>
      </c>
      <c r="P75" s="2165"/>
      <c r="Q75" s="2165"/>
      <c r="R75" s="2165"/>
      <c r="S75" s="2165"/>
      <c r="T75" s="2165"/>
      <c r="U75" s="2165"/>
      <c r="V75" s="2165"/>
      <c r="W75" s="2165"/>
      <c r="X75" s="2165"/>
      <c r="Y75" s="2165"/>
      <c r="Z75" s="2165"/>
      <c r="AA75" s="2166"/>
      <c r="AB75" s="1190"/>
      <c r="AC75" s="2039"/>
      <c r="AD75" s="2040"/>
      <c r="AE75" s="2040"/>
      <c r="AF75" s="2040"/>
      <c r="AG75" s="2040"/>
      <c r="AH75" s="2040"/>
      <c r="AI75" s="2040"/>
      <c r="AJ75" s="2040"/>
      <c r="AK75" s="2040"/>
      <c r="AL75" s="2040"/>
      <c r="AM75" s="2040"/>
      <c r="AN75" s="2040"/>
      <c r="AO75" s="2040"/>
      <c r="AP75" s="2040"/>
      <c r="AQ75" s="2040"/>
      <c r="AR75" s="2040"/>
      <c r="AS75" s="2040"/>
      <c r="AT75" s="2040"/>
      <c r="AU75" s="2040"/>
      <c r="AV75" s="2040"/>
      <c r="AW75" s="2040"/>
      <c r="AX75" s="2040"/>
      <c r="AY75" s="2040"/>
      <c r="AZ75" s="2040"/>
      <c r="BA75" s="2040"/>
      <c r="BB75" s="2040"/>
      <c r="BC75" s="2041"/>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39"/>
      <c r="AD76" s="2040"/>
      <c r="AE76" s="2040"/>
      <c r="AF76" s="2040"/>
      <c r="AG76" s="2040"/>
      <c r="AH76" s="2040"/>
      <c r="AI76" s="2040"/>
      <c r="AJ76" s="2040"/>
      <c r="AK76" s="2040"/>
      <c r="AL76" s="2040"/>
      <c r="AM76" s="2040"/>
      <c r="AN76" s="2040"/>
      <c r="AO76" s="2040"/>
      <c r="AP76" s="2040"/>
      <c r="AQ76" s="2040"/>
      <c r="AR76" s="2040"/>
      <c r="AS76" s="2040"/>
      <c r="AT76" s="2040"/>
      <c r="AU76" s="2040"/>
      <c r="AV76" s="2040"/>
      <c r="AW76" s="2040"/>
      <c r="AX76" s="2040"/>
      <c r="AY76" s="2040"/>
      <c r="AZ76" s="2040"/>
      <c r="BA76" s="2040"/>
      <c r="BB76" s="2040"/>
      <c r="BC76" s="2041"/>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42"/>
      <c r="AD77" s="2043"/>
      <c r="AE77" s="2043"/>
      <c r="AF77" s="2043"/>
      <c r="AG77" s="2043"/>
      <c r="AH77" s="2043"/>
      <c r="AI77" s="2043"/>
      <c r="AJ77" s="2043"/>
      <c r="AK77" s="2043"/>
      <c r="AL77" s="2043"/>
      <c r="AM77" s="2043"/>
      <c r="AN77" s="2043"/>
      <c r="AO77" s="2043"/>
      <c r="AP77" s="2043"/>
      <c r="AQ77" s="2043"/>
      <c r="AR77" s="2043"/>
      <c r="AS77" s="2043"/>
      <c r="AT77" s="2043"/>
      <c r="AU77" s="2043"/>
      <c r="AV77" s="2043"/>
      <c r="AW77" s="2043"/>
      <c r="AX77" s="2043"/>
      <c r="AY77" s="2043"/>
      <c r="AZ77" s="2043"/>
      <c r="BA77" s="2043"/>
      <c r="BB77" s="2043"/>
      <c r="BC77" s="2044"/>
      <c r="BD77" s="1190"/>
      <c r="BE77" s="1194"/>
      <c r="CK77" s="1188"/>
      <c r="CL77" s="1188"/>
      <c r="CM77" s="1188"/>
      <c r="CN77" s="1188"/>
      <c r="CO77" s="1188"/>
      <c r="CP77" s="1188"/>
    </row>
    <row r="78" spans="1:94" ht="15.75" customHeight="1" thickBot="1">
      <c r="A78" s="1190"/>
      <c r="B78" s="1202" t="s">
        <v>2384</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2283</v>
      </c>
      <c r="C79" s="1206"/>
      <c r="D79" s="1206"/>
      <c r="E79" s="1207"/>
      <c r="F79" s="2141"/>
      <c r="G79" s="2142"/>
      <c r="H79" s="2142"/>
      <c r="I79" s="2142"/>
      <c r="J79" s="2142"/>
      <c r="K79" s="2142"/>
      <c r="L79" s="2142"/>
      <c r="M79" s="2142"/>
      <c r="N79" s="2142"/>
      <c r="O79" s="2142"/>
      <c r="P79" s="2142"/>
      <c r="Q79" s="2142"/>
      <c r="R79" s="2142"/>
      <c r="S79" s="2142"/>
      <c r="T79" s="2143"/>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144" t="s">
        <v>2383</v>
      </c>
      <c r="C80" s="2145"/>
      <c r="D80" s="2145"/>
      <c r="E80" s="2145"/>
      <c r="F80" s="2145"/>
      <c r="G80" s="2145"/>
      <c r="H80" s="2145"/>
      <c r="I80" s="2145"/>
      <c r="J80" s="2145"/>
      <c r="K80" s="2145"/>
      <c r="L80" s="2145"/>
      <c r="M80" s="2145"/>
      <c r="N80" s="2145"/>
      <c r="O80" s="2145"/>
      <c r="P80" s="2145"/>
      <c r="Q80" s="2145"/>
      <c r="R80" s="2147" t="str">
        <f>IFERROR(INDEX(BR96:BR98,MATCH(F79,$BQ$96:$BQ$98,0))/SUM($BR$96:$BR$98),"")</f>
        <v/>
      </c>
      <c r="S80" s="2148"/>
      <c r="T80" s="2149"/>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150" t="s">
        <v>2382</v>
      </c>
      <c r="C81" s="2151"/>
      <c r="D81" s="2151"/>
      <c r="E81" s="2151"/>
      <c r="F81" s="2151"/>
      <c r="G81" s="2151"/>
      <c r="H81" s="2151"/>
      <c r="I81" s="2151"/>
      <c r="J81" s="2151"/>
      <c r="K81" s="2151"/>
      <c r="L81" s="2151"/>
      <c r="M81" s="2151"/>
      <c r="N81" s="2151"/>
      <c r="O81" s="2151"/>
      <c r="P81" s="2151"/>
      <c r="Q81" s="2151"/>
      <c r="R81" s="2132" t="s">
        <v>2188</v>
      </c>
      <c r="S81" s="2133"/>
      <c r="T81" s="2134"/>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153" t="s">
        <v>2381</v>
      </c>
      <c r="C83" s="2154"/>
      <c r="D83" s="2154"/>
      <c r="E83" s="2154"/>
      <c r="F83" s="2154"/>
      <c r="G83" s="2154"/>
      <c r="H83" s="2154"/>
      <c r="I83" s="2154"/>
      <c r="J83" s="2154"/>
      <c r="K83" s="2154"/>
      <c r="L83" s="2154"/>
      <c r="M83" s="2154"/>
      <c r="N83" s="2154"/>
      <c r="O83" s="2154"/>
      <c r="P83" s="2154"/>
      <c r="Q83" s="2154"/>
      <c r="R83" s="2154"/>
      <c r="S83" s="2154"/>
      <c r="T83" s="2154"/>
      <c r="U83" s="2154"/>
      <c r="V83" s="2154"/>
      <c r="W83" s="2154"/>
      <c r="X83" s="2154"/>
      <c r="Y83" s="2154"/>
      <c r="Z83" s="2154"/>
      <c r="AA83" s="2154"/>
      <c r="AB83" s="2154"/>
      <c r="AC83" s="2154"/>
      <c r="AD83" s="2154"/>
      <c r="AE83" s="2154"/>
      <c r="AF83" s="2154"/>
      <c r="AG83" s="2154"/>
      <c r="AH83" s="2155"/>
      <c r="AI83" s="1190"/>
      <c r="AJ83" s="2120" t="s">
        <v>2380</v>
      </c>
      <c r="AK83" s="2121"/>
      <c r="AL83" s="2121"/>
      <c r="AM83" s="2121"/>
      <c r="AN83" s="2121"/>
      <c r="AO83" s="2121"/>
      <c r="AP83" s="2121"/>
      <c r="AQ83" s="2121"/>
      <c r="AR83" s="2121"/>
      <c r="AS83" s="2121"/>
      <c r="AT83" s="2121"/>
      <c r="AU83" s="2121"/>
      <c r="AV83" s="2121"/>
      <c r="AW83" s="2121"/>
      <c r="AX83" s="2121"/>
      <c r="AY83" s="2137" t="s">
        <v>545</v>
      </c>
      <c r="AZ83" s="2137"/>
      <c r="BA83" s="2137"/>
      <c r="BB83" s="2138"/>
      <c r="BC83" s="1190"/>
      <c r="BD83" s="1190"/>
      <c r="BE83" s="1194"/>
      <c r="CK83" s="1188"/>
      <c r="CL83" s="1188"/>
      <c r="CM83" s="1188"/>
      <c r="CN83" s="1188"/>
      <c r="CO83" s="1188"/>
      <c r="CP83" s="1188"/>
    </row>
    <row r="84" spans="1:94" ht="15.75" customHeight="1">
      <c r="A84" s="1190"/>
      <c r="B84" s="2131"/>
      <c r="C84" s="2099"/>
      <c r="D84" s="2099"/>
      <c r="E84" s="2099"/>
      <c r="F84" s="2099"/>
      <c r="G84" s="2099"/>
      <c r="H84" s="2099"/>
      <c r="I84" s="2099" t="s">
        <v>2370</v>
      </c>
      <c r="J84" s="2099"/>
      <c r="K84" s="2099"/>
      <c r="L84" s="2099"/>
      <c r="M84" s="2099"/>
      <c r="N84" s="2099"/>
      <c r="O84" s="2099" t="s">
        <v>2346</v>
      </c>
      <c r="P84" s="2099"/>
      <c r="Q84" s="2099"/>
      <c r="R84" s="2099"/>
      <c r="S84" s="2099"/>
      <c r="T84" s="2099"/>
      <c r="U84" s="2099"/>
      <c r="V84" s="2135" t="s">
        <v>2345</v>
      </c>
      <c r="W84" s="2135"/>
      <c r="X84" s="2135"/>
      <c r="Y84" s="2135"/>
      <c r="Z84" s="2135"/>
      <c r="AA84" s="2135"/>
      <c r="AB84" s="2069" t="s">
        <v>2369</v>
      </c>
      <c r="AC84" s="2069"/>
      <c r="AD84" s="2069"/>
      <c r="AE84" s="2069"/>
      <c r="AF84" s="2069"/>
      <c r="AG84" s="2069"/>
      <c r="AH84" s="2136"/>
      <c r="AI84" s="1190"/>
      <c r="AJ84" s="2123"/>
      <c r="AK84" s="2124"/>
      <c r="AL84" s="2124"/>
      <c r="AM84" s="2124"/>
      <c r="AN84" s="2124"/>
      <c r="AO84" s="2124"/>
      <c r="AP84" s="2124"/>
      <c r="AQ84" s="2124"/>
      <c r="AR84" s="2124"/>
      <c r="AS84" s="2124"/>
      <c r="AT84" s="2124"/>
      <c r="AU84" s="2124"/>
      <c r="AV84" s="2124"/>
      <c r="AW84" s="2124"/>
      <c r="AX84" s="2124"/>
      <c r="AY84" s="2139"/>
      <c r="AZ84" s="2139"/>
      <c r="BA84" s="2139"/>
      <c r="BB84" s="2140"/>
      <c r="BC84" s="1190"/>
      <c r="BD84" s="1190"/>
      <c r="BE84" s="1194"/>
      <c r="CK84" s="1188"/>
      <c r="CL84" s="1188"/>
      <c r="CM84" s="1188"/>
      <c r="CN84" s="1188"/>
      <c r="CO84" s="1188"/>
      <c r="CP84" s="1188"/>
    </row>
    <row r="85" spans="1:94" ht="15.75" customHeight="1">
      <c r="A85" s="1190"/>
      <c r="B85" s="2131"/>
      <c r="C85" s="2099"/>
      <c r="D85" s="2099"/>
      <c r="E85" s="2099"/>
      <c r="F85" s="2099"/>
      <c r="G85" s="2099"/>
      <c r="H85" s="2099"/>
      <c r="I85" s="2099"/>
      <c r="J85" s="2099"/>
      <c r="K85" s="2099"/>
      <c r="L85" s="2099"/>
      <c r="M85" s="2099"/>
      <c r="N85" s="2099"/>
      <c r="O85" s="2099"/>
      <c r="P85" s="2099"/>
      <c r="Q85" s="2099"/>
      <c r="R85" s="2099"/>
      <c r="S85" s="2099"/>
      <c r="T85" s="2099"/>
      <c r="U85" s="2099"/>
      <c r="V85" s="2135"/>
      <c r="W85" s="2135"/>
      <c r="X85" s="2135"/>
      <c r="Y85" s="2135"/>
      <c r="Z85" s="2135"/>
      <c r="AA85" s="2135"/>
      <c r="AB85" s="2069"/>
      <c r="AC85" s="2069"/>
      <c r="AD85" s="2069"/>
      <c r="AE85" s="2069"/>
      <c r="AF85" s="2069"/>
      <c r="AG85" s="2069"/>
      <c r="AH85" s="2136"/>
      <c r="AI85" s="1190"/>
      <c r="AJ85" s="2123"/>
      <c r="AK85" s="2124"/>
      <c r="AL85" s="2124"/>
      <c r="AM85" s="2124"/>
      <c r="AN85" s="2124"/>
      <c r="AO85" s="2124"/>
      <c r="AP85" s="2124"/>
      <c r="AQ85" s="2124"/>
      <c r="AR85" s="2124"/>
      <c r="AS85" s="2124"/>
      <c r="AT85" s="2124"/>
      <c r="AU85" s="2124"/>
      <c r="AV85" s="2124"/>
      <c r="AW85" s="2124"/>
      <c r="AX85" s="2124"/>
      <c r="AY85" s="2139"/>
      <c r="AZ85" s="2139"/>
      <c r="BA85" s="2139"/>
      <c r="BB85" s="2140"/>
      <c r="BC85" s="1190"/>
      <c r="BD85" s="1190"/>
      <c r="BE85" s="1194"/>
      <c r="CK85" s="1188"/>
      <c r="CL85" s="1188"/>
      <c r="CM85" s="1188"/>
      <c r="CN85" s="1188"/>
      <c r="CO85" s="1188"/>
      <c r="CP85" s="1188"/>
    </row>
    <row r="86" spans="1:94" ht="15.75" customHeight="1">
      <c r="A86" s="1190"/>
      <c r="B86" s="2131" t="s">
        <v>2368</v>
      </c>
      <c r="C86" s="2099"/>
      <c r="D86" s="2099"/>
      <c r="E86" s="2099"/>
      <c r="F86" s="2099"/>
      <c r="G86" s="2099"/>
      <c r="H86" s="2099"/>
      <c r="I86" s="2072">
        <v>0</v>
      </c>
      <c r="J86" s="2072"/>
      <c r="K86" s="2072"/>
      <c r="L86" s="2072"/>
      <c r="M86" s="2072"/>
      <c r="N86" s="2072"/>
      <c r="O86" s="2072">
        <v>0</v>
      </c>
      <c r="P86" s="2072"/>
      <c r="Q86" s="2072"/>
      <c r="R86" s="2072"/>
      <c r="S86" s="2072"/>
      <c r="T86" s="2072"/>
      <c r="U86" s="2072"/>
      <c r="V86" s="2072">
        <v>0</v>
      </c>
      <c r="W86" s="2072"/>
      <c r="X86" s="2072"/>
      <c r="Y86" s="2072"/>
      <c r="Z86" s="2072"/>
      <c r="AA86" s="2072"/>
      <c r="AB86" s="2072">
        <v>0</v>
      </c>
      <c r="AC86" s="2072"/>
      <c r="AD86" s="2072"/>
      <c r="AE86" s="2072"/>
      <c r="AF86" s="2072"/>
      <c r="AG86" s="2072"/>
      <c r="AH86" s="2073"/>
      <c r="AI86" s="1190"/>
      <c r="AJ86" s="2123"/>
      <c r="AK86" s="2124"/>
      <c r="AL86" s="2124"/>
      <c r="AM86" s="2124"/>
      <c r="AN86" s="2124"/>
      <c r="AO86" s="2124"/>
      <c r="AP86" s="2124"/>
      <c r="AQ86" s="2124"/>
      <c r="AR86" s="2124"/>
      <c r="AS86" s="2124"/>
      <c r="AT86" s="2124"/>
      <c r="AU86" s="2124"/>
      <c r="AV86" s="2124"/>
      <c r="AW86" s="2124"/>
      <c r="AX86" s="2124"/>
      <c r="AY86" s="2139"/>
      <c r="AZ86" s="2139"/>
      <c r="BA86" s="2139"/>
      <c r="BB86" s="2140"/>
      <c r="BC86" s="1190"/>
      <c r="BD86" s="1190"/>
      <c r="BE86" s="1194"/>
      <c r="CK86" s="1188"/>
      <c r="CL86" s="1188"/>
      <c r="CM86" s="1188"/>
      <c r="CN86" s="1188"/>
      <c r="CO86" s="1188"/>
      <c r="CP86" s="1188"/>
    </row>
    <row r="87" spans="1:94" ht="15.75" customHeight="1">
      <c r="A87" s="1190"/>
      <c r="B87" s="2131" t="s">
        <v>2367</v>
      </c>
      <c r="C87" s="2099"/>
      <c r="D87" s="2099"/>
      <c r="E87" s="2099"/>
      <c r="F87" s="2099"/>
      <c r="G87" s="2099"/>
      <c r="H87" s="2099"/>
      <c r="I87" s="2072">
        <v>0</v>
      </c>
      <c r="J87" s="2072"/>
      <c r="K87" s="2072"/>
      <c r="L87" s="2072"/>
      <c r="M87" s="2072"/>
      <c r="N87" s="2072"/>
      <c r="O87" s="2072">
        <v>0</v>
      </c>
      <c r="P87" s="2072"/>
      <c r="Q87" s="2072"/>
      <c r="R87" s="2072"/>
      <c r="S87" s="2072"/>
      <c r="T87" s="2072"/>
      <c r="U87" s="2072"/>
      <c r="V87" s="2072">
        <v>0</v>
      </c>
      <c r="W87" s="2072"/>
      <c r="X87" s="2072"/>
      <c r="Y87" s="2072"/>
      <c r="Z87" s="2072"/>
      <c r="AA87" s="2072"/>
      <c r="AB87" s="2072">
        <v>0</v>
      </c>
      <c r="AC87" s="2072"/>
      <c r="AD87" s="2072"/>
      <c r="AE87" s="2072"/>
      <c r="AF87" s="2072"/>
      <c r="AG87" s="2072"/>
      <c r="AH87" s="2073"/>
      <c r="AI87" s="1190"/>
      <c r="AJ87" s="2039" t="s">
        <v>2374</v>
      </c>
      <c r="AK87" s="2040"/>
      <c r="AL87" s="2040"/>
      <c r="AM87" s="2040"/>
      <c r="AN87" s="2040"/>
      <c r="AO87" s="2040"/>
      <c r="AP87" s="2040"/>
      <c r="AQ87" s="2040"/>
      <c r="AR87" s="2040"/>
      <c r="AS87" s="2040"/>
      <c r="AT87" s="2040"/>
      <c r="AU87" s="2040"/>
      <c r="AV87" s="2040"/>
      <c r="AW87" s="2040"/>
      <c r="AX87" s="2040"/>
      <c r="AY87" s="2040"/>
      <c r="AZ87" s="2040"/>
      <c r="BA87" s="2040"/>
      <c r="BB87" s="2041"/>
      <c r="BC87" s="1190"/>
      <c r="BD87" s="1190"/>
      <c r="BE87" s="1194"/>
      <c r="CK87" s="1188"/>
      <c r="CL87" s="1188"/>
      <c r="CM87" s="1188"/>
      <c r="CN87" s="1188"/>
      <c r="CO87" s="1188"/>
      <c r="CP87" s="1188"/>
    </row>
    <row r="88" spans="1:94" ht="15.75" customHeight="1" thickBot="1">
      <c r="A88" s="1190"/>
      <c r="B88" s="2129" t="s">
        <v>2366</v>
      </c>
      <c r="C88" s="2130"/>
      <c r="D88" s="2130"/>
      <c r="E88" s="2130"/>
      <c r="F88" s="2130"/>
      <c r="G88" s="2130"/>
      <c r="H88" s="2130"/>
      <c r="I88" s="2066">
        <v>0</v>
      </c>
      <c r="J88" s="2066"/>
      <c r="K88" s="2066"/>
      <c r="L88" s="2066"/>
      <c r="M88" s="2066"/>
      <c r="N88" s="2066"/>
      <c r="O88" s="2066">
        <v>0</v>
      </c>
      <c r="P88" s="2066"/>
      <c r="Q88" s="2066"/>
      <c r="R88" s="2066"/>
      <c r="S88" s="2066"/>
      <c r="T88" s="2066"/>
      <c r="U88" s="2066"/>
      <c r="V88" s="2066">
        <v>0</v>
      </c>
      <c r="W88" s="2066"/>
      <c r="X88" s="2066"/>
      <c r="Y88" s="2066"/>
      <c r="Z88" s="2066"/>
      <c r="AA88" s="2066"/>
      <c r="AB88" s="2066">
        <v>0</v>
      </c>
      <c r="AC88" s="2066"/>
      <c r="AD88" s="2066"/>
      <c r="AE88" s="2066"/>
      <c r="AF88" s="2066"/>
      <c r="AG88" s="2066"/>
      <c r="AH88" s="2067"/>
      <c r="AI88" s="1190"/>
      <c r="AJ88" s="2042"/>
      <c r="AK88" s="2043"/>
      <c r="AL88" s="2043"/>
      <c r="AM88" s="2043"/>
      <c r="AN88" s="2043"/>
      <c r="AO88" s="2043"/>
      <c r="AP88" s="2043"/>
      <c r="AQ88" s="2043"/>
      <c r="AR88" s="2043"/>
      <c r="AS88" s="2043"/>
      <c r="AT88" s="2043"/>
      <c r="AU88" s="2043"/>
      <c r="AV88" s="2043"/>
      <c r="AW88" s="2043"/>
      <c r="AX88" s="2043"/>
      <c r="AY88" s="2043"/>
      <c r="AZ88" s="2043"/>
      <c r="BA88" s="2043"/>
      <c r="BB88" s="2044"/>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2379</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2283</v>
      </c>
      <c r="C92" s="1212"/>
      <c r="D92" s="1213"/>
      <c r="E92" s="1214"/>
      <c r="F92" s="2141"/>
      <c r="G92" s="2142"/>
      <c r="H92" s="2142"/>
      <c r="I92" s="2142"/>
      <c r="J92" s="2142"/>
      <c r="K92" s="2142"/>
      <c r="L92" s="2142"/>
      <c r="M92" s="2142"/>
      <c r="N92" s="2142"/>
      <c r="O92" s="2142"/>
      <c r="P92" s="2142"/>
      <c r="Q92" s="2142"/>
      <c r="R92" s="2142"/>
      <c r="S92" s="2142"/>
      <c r="T92" s="2143"/>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144" t="s">
        <v>2378</v>
      </c>
      <c r="C93" s="2145"/>
      <c r="D93" s="2145"/>
      <c r="E93" s="2145"/>
      <c r="F93" s="2145"/>
      <c r="G93" s="2145"/>
      <c r="H93" s="2145"/>
      <c r="I93" s="2145"/>
      <c r="J93" s="2145"/>
      <c r="K93" s="2145"/>
      <c r="L93" s="2145"/>
      <c r="M93" s="2145"/>
      <c r="N93" s="2145"/>
      <c r="O93" s="2145"/>
      <c r="P93" s="2145"/>
      <c r="Q93" s="2146"/>
      <c r="R93" s="2147" t="str">
        <f>IFERROR(INDEX(BR96:BR98,MATCH(F92,$BQ$96:$BQ$98,0))/SUM($BR$96:$BR$98),"")</f>
        <v/>
      </c>
      <c r="S93" s="2148"/>
      <c r="T93" s="2149"/>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150" t="s">
        <v>2377</v>
      </c>
      <c r="C94" s="2151"/>
      <c r="D94" s="2151"/>
      <c r="E94" s="2151"/>
      <c r="F94" s="2151"/>
      <c r="G94" s="2151"/>
      <c r="H94" s="2151"/>
      <c r="I94" s="2151"/>
      <c r="J94" s="2151"/>
      <c r="K94" s="2151"/>
      <c r="L94" s="2151"/>
      <c r="M94" s="2151"/>
      <c r="N94" s="2151"/>
      <c r="O94" s="2151"/>
      <c r="P94" s="2151"/>
      <c r="Q94" s="2152"/>
      <c r="R94" s="2132" t="s">
        <v>2188</v>
      </c>
      <c r="S94" s="2133"/>
      <c r="T94" s="2134"/>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153" t="s">
        <v>2376</v>
      </c>
      <c r="C96" s="2154"/>
      <c r="D96" s="2154"/>
      <c r="E96" s="2154"/>
      <c r="F96" s="2154"/>
      <c r="G96" s="2154"/>
      <c r="H96" s="2154"/>
      <c r="I96" s="2154"/>
      <c r="J96" s="2154"/>
      <c r="K96" s="2154"/>
      <c r="L96" s="2154"/>
      <c r="M96" s="2154"/>
      <c r="N96" s="2154"/>
      <c r="O96" s="2154"/>
      <c r="P96" s="2154"/>
      <c r="Q96" s="2154"/>
      <c r="R96" s="2154"/>
      <c r="S96" s="2154"/>
      <c r="T96" s="2154"/>
      <c r="U96" s="2154"/>
      <c r="V96" s="2154"/>
      <c r="W96" s="2154"/>
      <c r="X96" s="2154"/>
      <c r="Y96" s="2154"/>
      <c r="Z96" s="2154"/>
      <c r="AA96" s="2154"/>
      <c r="AB96" s="2154"/>
      <c r="AC96" s="2154"/>
      <c r="AD96" s="2154"/>
      <c r="AE96" s="2154"/>
      <c r="AF96" s="2154"/>
      <c r="AG96" s="2154"/>
      <c r="AH96" s="2155"/>
      <c r="AI96" s="1190"/>
      <c r="AJ96" s="2120" t="s">
        <v>2375</v>
      </c>
      <c r="AK96" s="2121"/>
      <c r="AL96" s="2121"/>
      <c r="AM96" s="2121"/>
      <c r="AN96" s="2121"/>
      <c r="AO96" s="2121"/>
      <c r="AP96" s="2121"/>
      <c r="AQ96" s="2121"/>
      <c r="AR96" s="2121"/>
      <c r="AS96" s="2121"/>
      <c r="AT96" s="2121"/>
      <c r="AU96" s="2121"/>
      <c r="AV96" s="2121"/>
      <c r="AW96" s="2121"/>
      <c r="AX96" s="2121"/>
      <c r="AY96" s="2137" t="s">
        <v>545</v>
      </c>
      <c r="AZ96" s="2137"/>
      <c r="BA96" s="2137"/>
      <c r="BB96" s="2138"/>
      <c r="BC96" s="1190"/>
      <c r="BD96" s="1190"/>
      <c r="BE96" s="1194"/>
      <c r="BQ96" s="1256" t="str">
        <f>Application!M243&amp;IF(TRIM(Application!AA249)&lt;&gt;""," ("&amp;Application!AA249&amp;")","")</f>
        <v>Market 2 AGP LLC (MRK Partners, Inc. )</v>
      </c>
      <c r="BR96" s="1259">
        <f>Application!AH246</f>
        <v>5.0000000000000001E-3</v>
      </c>
      <c r="CM96" s="1188"/>
      <c r="CN96" s="1188"/>
      <c r="CO96" s="1188"/>
      <c r="CP96" s="1188"/>
    </row>
    <row r="97" spans="1:94" ht="15.75" customHeight="1">
      <c r="A97" s="1190"/>
      <c r="B97" s="2131"/>
      <c r="C97" s="2099"/>
      <c r="D97" s="2099"/>
      <c r="E97" s="2099"/>
      <c r="F97" s="2099"/>
      <c r="G97" s="2099"/>
      <c r="H97" s="2099"/>
      <c r="I97" s="2099" t="s">
        <v>2370</v>
      </c>
      <c r="J97" s="2099"/>
      <c r="K97" s="2099"/>
      <c r="L97" s="2099"/>
      <c r="M97" s="2099"/>
      <c r="N97" s="2099"/>
      <c r="O97" s="2099" t="s">
        <v>2346</v>
      </c>
      <c r="P97" s="2099"/>
      <c r="Q97" s="2099"/>
      <c r="R97" s="2099"/>
      <c r="S97" s="2099"/>
      <c r="T97" s="2099"/>
      <c r="U97" s="2099"/>
      <c r="V97" s="2135" t="s">
        <v>2345</v>
      </c>
      <c r="W97" s="2135"/>
      <c r="X97" s="2135"/>
      <c r="Y97" s="2135"/>
      <c r="Z97" s="2135"/>
      <c r="AA97" s="2135"/>
      <c r="AB97" s="2069" t="s">
        <v>2369</v>
      </c>
      <c r="AC97" s="2069"/>
      <c r="AD97" s="2069"/>
      <c r="AE97" s="2069"/>
      <c r="AF97" s="2069"/>
      <c r="AG97" s="2069"/>
      <c r="AH97" s="2136"/>
      <c r="AI97" s="1190"/>
      <c r="AJ97" s="2123"/>
      <c r="AK97" s="2124"/>
      <c r="AL97" s="2124"/>
      <c r="AM97" s="2124"/>
      <c r="AN97" s="2124"/>
      <c r="AO97" s="2124"/>
      <c r="AP97" s="2124"/>
      <c r="AQ97" s="2124"/>
      <c r="AR97" s="2124"/>
      <c r="AS97" s="2124"/>
      <c r="AT97" s="2124"/>
      <c r="AU97" s="2124"/>
      <c r="AV97" s="2124"/>
      <c r="AW97" s="2124"/>
      <c r="AX97" s="2124"/>
      <c r="AY97" s="2139"/>
      <c r="AZ97" s="2139"/>
      <c r="BA97" s="2139"/>
      <c r="BB97" s="2140"/>
      <c r="BC97" s="1190"/>
      <c r="BD97" s="1190"/>
      <c r="BE97" s="1194"/>
      <c r="BQ97" s="1256" t="str">
        <f>Application!M251&amp;IF(TRIM(Application!AA257)&lt;&gt;""," ("&amp;Application!AA257&amp;")","")</f>
        <v>Pacific Southwest Community Development Corporation, a California nonprofit public benefit corporation (Pacific Southwest Community Development Corporation, a California nonprofit public benefit corporation)</v>
      </c>
      <c r="BR97" s="1259">
        <f>Application!AH254</f>
        <v>5.0000000000000001E-3</v>
      </c>
      <c r="CM97" s="1188"/>
      <c r="CN97" s="1188"/>
      <c r="CO97" s="1188"/>
      <c r="CP97" s="1188"/>
    </row>
    <row r="98" spans="1:94" ht="15.75" customHeight="1">
      <c r="A98" s="1190"/>
      <c r="B98" s="2131"/>
      <c r="C98" s="2099"/>
      <c r="D98" s="2099"/>
      <c r="E98" s="2099"/>
      <c r="F98" s="2099"/>
      <c r="G98" s="2099"/>
      <c r="H98" s="2099"/>
      <c r="I98" s="2099"/>
      <c r="J98" s="2099"/>
      <c r="K98" s="2099"/>
      <c r="L98" s="2099"/>
      <c r="M98" s="2099"/>
      <c r="N98" s="2099"/>
      <c r="O98" s="2099"/>
      <c r="P98" s="2099"/>
      <c r="Q98" s="2099"/>
      <c r="R98" s="2099"/>
      <c r="S98" s="2099"/>
      <c r="T98" s="2099"/>
      <c r="U98" s="2099"/>
      <c r="V98" s="2135"/>
      <c r="W98" s="2135"/>
      <c r="X98" s="2135"/>
      <c r="Y98" s="2135"/>
      <c r="Z98" s="2135"/>
      <c r="AA98" s="2135"/>
      <c r="AB98" s="2069"/>
      <c r="AC98" s="2069"/>
      <c r="AD98" s="2069"/>
      <c r="AE98" s="2069"/>
      <c r="AF98" s="2069"/>
      <c r="AG98" s="2069"/>
      <c r="AH98" s="2136"/>
      <c r="AI98" s="1190"/>
      <c r="AJ98" s="2123"/>
      <c r="AK98" s="2124"/>
      <c r="AL98" s="2124"/>
      <c r="AM98" s="2124"/>
      <c r="AN98" s="2124"/>
      <c r="AO98" s="2124"/>
      <c r="AP98" s="2124"/>
      <c r="AQ98" s="2124"/>
      <c r="AR98" s="2124"/>
      <c r="AS98" s="2124"/>
      <c r="AT98" s="2124"/>
      <c r="AU98" s="2124"/>
      <c r="AV98" s="2124"/>
      <c r="AW98" s="2124"/>
      <c r="AX98" s="2124"/>
      <c r="AY98" s="2139"/>
      <c r="AZ98" s="2139"/>
      <c r="BA98" s="2139"/>
      <c r="BB98" s="2140"/>
      <c r="BC98" s="1190"/>
      <c r="BD98" s="1190"/>
      <c r="BE98" s="1194"/>
      <c r="BQ98" s="1256" t="str">
        <f>Application!M259&amp;IF(TRIM(Application!AA265)&lt;&gt;""," ("&amp;Application!AA265&amp;")","")</f>
        <v/>
      </c>
      <c r="BR98" s="1259">
        <f>Application!AH262</f>
        <v>0</v>
      </c>
      <c r="CM98" s="1188"/>
      <c r="CN98" s="1188"/>
      <c r="CO98" s="1188"/>
      <c r="CP98" s="1188"/>
    </row>
    <row r="99" spans="1:94" ht="15.75" customHeight="1">
      <c r="A99" s="1190"/>
      <c r="B99" s="2131" t="s">
        <v>2368</v>
      </c>
      <c r="C99" s="2099"/>
      <c r="D99" s="2099"/>
      <c r="E99" s="2099"/>
      <c r="F99" s="2099"/>
      <c r="G99" s="2099"/>
      <c r="H99" s="2099"/>
      <c r="I99" s="2072">
        <v>0</v>
      </c>
      <c r="J99" s="2072"/>
      <c r="K99" s="2072"/>
      <c r="L99" s="2072"/>
      <c r="M99" s="2072"/>
      <c r="N99" s="2072"/>
      <c r="O99" s="2072">
        <v>0</v>
      </c>
      <c r="P99" s="2072"/>
      <c r="Q99" s="2072"/>
      <c r="R99" s="2072"/>
      <c r="S99" s="2072"/>
      <c r="T99" s="2072"/>
      <c r="U99" s="2072"/>
      <c r="V99" s="2072">
        <v>0</v>
      </c>
      <c r="W99" s="2072"/>
      <c r="X99" s="2072"/>
      <c r="Y99" s="2072"/>
      <c r="Z99" s="2072"/>
      <c r="AA99" s="2072"/>
      <c r="AB99" s="2072">
        <v>0</v>
      </c>
      <c r="AC99" s="2072"/>
      <c r="AD99" s="2072"/>
      <c r="AE99" s="2072"/>
      <c r="AF99" s="2072"/>
      <c r="AG99" s="2072"/>
      <c r="AH99" s="2073"/>
      <c r="AI99" s="1190"/>
      <c r="AJ99" s="2123"/>
      <c r="AK99" s="2124"/>
      <c r="AL99" s="2124"/>
      <c r="AM99" s="2124"/>
      <c r="AN99" s="2124"/>
      <c r="AO99" s="2124"/>
      <c r="AP99" s="2124"/>
      <c r="AQ99" s="2124"/>
      <c r="AR99" s="2124"/>
      <c r="AS99" s="2124"/>
      <c r="AT99" s="2124"/>
      <c r="AU99" s="2124"/>
      <c r="AV99" s="2124"/>
      <c r="AW99" s="2124"/>
      <c r="AX99" s="2124"/>
      <c r="AY99" s="2139"/>
      <c r="AZ99" s="2139"/>
      <c r="BA99" s="2139"/>
      <c r="BB99" s="2140"/>
      <c r="BC99" s="1190"/>
      <c r="BD99" s="1190"/>
      <c r="BE99" s="1194"/>
      <c r="CM99" s="1188"/>
      <c r="CN99" s="1188"/>
      <c r="CO99" s="1188"/>
      <c r="CP99" s="1188"/>
    </row>
    <row r="100" spans="1:94" ht="15.75" customHeight="1">
      <c r="A100" s="1190"/>
      <c r="B100" s="2131" t="s">
        <v>2367</v>
      </c>
      <c r="C100" s="2099"/>
      <c r="D100" s="2099"/>
      <c r="E100" s="2099"/>
      <c r="F100" s="2099"/>
      <c r="G100" s="2099"/>
      <c r="H100" s="2099"/>
      <c r="I100" s="2072">
        <v>0</v>
      </c>
      <c r="J100" s="2072"/>
      <c r="K100" s="2072"/>
      <c r="L100" s="2072"/>
      <c r="M100" s="2072"/>
      <c r="N100" s="2072"/>
      <c r="O100" s="2072">
        <v>0</v>
      </c>
      <c r="P100" s="2072"/>
      <c r="Q100" s="2072"/>
      <c r="R100" s="2072"/>
      <c r="S100" s="2072"/>
      <c r="T100" s="2072"/>
      <c r="U100" s="2072"/>
      <c r="V100" s="2072">
        <v>0</v>
      </c>
      <c r="W100" s="2072"/>
      <c r="X100" s="2072"/>
      <c r="Y100" s="2072"/>
      <c r="Z100" s="2072"/>
      <c r="AA100" s="2072"/>
      <c r="AB100" s="2072">
        <v>0</v>
      </c>
      <c r="AC100" s="2072"/>
      <c r="AD100" s="2072"/>
      <c r="AE100" s="2072"/>
      <c r="AF100" s="2072"/>
      <c r="AG100" s="2072"/>
      <c r="AH100" s="2073"/>
      <c r="AI100" s="1190"/>
      <c r="AJ100" s="2039" t="s">
        <v>2374</v>
      </c>
      <c r="AK100" s="2040"/>
      <c r="AL100" s="2040"/>
      <c r="AM100" s="2040"/>
      <c r="AN100" s="2040"/>
      <c r="AO100" s="2040"/>
      <c r="AP100" s="2040"/>
      <c r="AQ100" s="2040"/>
      <c r="AR100" s="2040"/>
      <c r="AS100" s="2040"/>
      <c r="AT100" s="2040"/>
      <c r="AU100" s="2040"/>
      <c r="AV100" s="2040"/>
      <c r="AW100" s="2040"/>
      <c r="AX100" s="2040"/>
      <c r="AY100" s="2040"/>
      <c r="AZ100" s="2040"/>
      <c r="BA100" s="2040"/>
      <c r="BB100" s="2041"/>
      <c r="BC100" s="1190"/>
      <c r="BD100" s="1190"/>
      <c r="BE100" s="1194"/>
      <c r="CM100" s="1188"/>
      <c r="CN100" s="1188"/>
      <c r="CO100" s="1188"/>
      <c r="CP100" s="1188"/>
    </row>
    <row r="101" spans="1:94" ht="15.75" customHeight="1" thickBot="1">
      <c r="A101" s="1190"/>
      <c r="B101" s="2129" t="s">
        <v>2366</v>
      </c>
      <c r="C101" s="2130"/>
      <c r="D101" s="2130"/>
      <c r="E101" s="2130"/>
      <c r="F101" s="2130"/>
      <c r="G101" s="2130"/>
      <c r="H101" s="2130"/>
      <c r="I101" s="2066">
        <v>0</v>
      </c>
      <c r="J101" s="2066"/>
      <c r="K101" s="2066"/>
      <c r="L101" s="2066"/>
      <c r="M101" s="2066"/>
      <c r="N101" s="2066"/>
      <c r="O101" s="2066">
        <v>0</v>
      </c>
      <c r="P101" s="2066"/>
      <c r="Q101" s="2066"/>
      <c r="R101" s="2066"/>
      <c r="S101" s="2066"/>
      <c r="T101" s="2066"/>
      <c r="U101" s="2066"/>
      <c r="V101" s="2066">
        <v>0</v>
      </c>
      <c r="W101" s="2066"/>
      <c r="X101" s="2066"/>
      <c r="Y101" s="2066"/>
      <c r="Z101" s="2066"/>
      <c r="AA101" s="2066"/>
      <c r="AB101" s="2066">
        <v>0</v>
      </c>
      <c r="AC101" s="2066"/>
      <c r="AD101" s="2066"/>
      <c r="AE101" s="2066"/>
      <c r="AF101" s="2066"/>
      <c r="AG101" s="2066"/>
      <c r="AH101" s="2067"/>
      <c r="AI101" s="1190"/>
      <c r="AJ101" s="2042"/>
      <c r="AK101" s="2043"/>
      <c r="AL101" s="2043"/>
      <c r="AM101" s="2043"/>
      <c r="AN101" s="2043"/>
      <c r="AO101" s="2043"/>
      <c r="AP101" s="2043"/>
      <c r="AQ101" s="2043"/>
      <c r="AR101" s="2043"/>
      <c r="AS101" s="2043"/>
      <c r="AT101" s="2043"/>
      <c r="AU101" s="2043"/>
      <c r="AV101" s="2043"/>
      <c r="AW101" s="2043"/>
      <c r="AX101" s="2043"/>
      <c r="AY101" s="2043"/>
      <c r="AZ101" s="2043"/>
      <c r="BA101" s="2043"/>
      <c r="BB101" s="2044"/>
      <c r="BC101" s="1190"/>
      <c r="BD101" s="1190"/>
      <c r="BE101" s="1194"/>
      <c r="BQ101" s="1256" t="str">
        <f>Application!AA335</f>
        <v>WinnResidential California LP</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t="str">
        <f>Application!P343</f>
        <v>N/A</v>
      </c>
      <c r="CM102" s="1188"/>
      <c r="CN102" s="1188"/>
      <c r="CO102" s="1188"/>
      <c r="CP102" s="1188"/>
    </row>
    <row r="103" spans="1:94" ht="15.75" customHeight="1" thickBot="1">
      <c r="A103" s="1190"/>
      <c r="B103" s="1209" t="s">
        <v>2373</v>
      </c>
      <c r="C103" s="1203"/>
      <c r="D103" s="1204"/>
      <c r="E103" s="1204"/>
      <c r="F103" s="1215"/>
      <c r="G103" s="1215"/>
      <c r="H103" s="1215"/>
      <c r="I103" s="1215"/>
      <c r="J103" s="1215"/>
      <c r="K103" s="1215"/>
      <c r="L103" s="1215"/>
      <c r="M103" s="1215"/>
      <c r="N103" s="1215"/>
      <c r="O103" s="1216"/>
      <c r="P103" s="1215"/>
      <c r="Q103" s="1215"/>
      <c r="R103" s="1216"/>
      <c r="S103" s="1190" t="s">
        <v>249</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2283</v>
      </c>
      <c r="C104" s="1212"/>
      <c r="D104" s="1217"/>
      <c r="E104" s="1218"/>
      <c r="F104" s="2093"/>
      <c r="G104" s="2094"/>
      <c r="H104" s="2094"/>
      <c r="I104" s="2094"/>
      <c r="J104" s="2094"/>
      <c r="K104" s="2094"/>
      <c r="L104" s="2094"/>
      <c r="M104" s="2094"/>
      <c r="N104" s="2094"/>
      <c r="O104" s="2094"/>
      <c r="P104" s="2094"/>
      <c r="Q104" s="2094"/>
      <c r="R104" s="2095"/>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2372</v>
      </c>
      <c r="C105" s="1220"/>
      <c r="D105" s="1221"/>
      <c r="E105" s="1221"/>
      <c r="F105" s="1221"/>
      <c r="G105" s="1221"/>
      <c r="H105" s="1221"/>
      <c r="I105" s="1221"/>
      <c r="J105" s="1221"/>
      <c r="K105" s="1221"/>
      <c r="L105" s="1222"/>
      <c r="M105" s="1221"/>
      <c r="N105" s="1222"/>
      <c r="O105" s="2132" t="str">
        <f>IFERROR(INDEX(BR96:BR98,MATCH(F104,$BQ$96:$BQ$98,0))/SUM($BR$96:$BR$98),"")</f>
        <v/>
      </c>
      <c r="P105" s="2133"/>
      <c r="Q105" s="2133"/>
      <c r="R105" s="2134"/>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22" t="s">
        <v>2371</v>
      </c>
      <c r="C107" s="2023"/>
      <c r="D107" s="2023"/>
      <c r="E107" s="2023"/>
      <c r="F107" s="2023"/>
      <c r="G107" s="2023"/>
      <c r="H107" s="2023"/>
      <c r="I107" s="2023"/>
      <c r="J107" s="2023"/>
      <c r="K107" s="2023"/>
      <c r="L107" s="2023"/>
      <c r="M107" s="2023"/>
      <c r="N107" s="2023"/>
      <c r="O107" s="2023"/>
      <c r="P107" s="2023"/>
      <c r="Q107" s="2023"/>
      <c r="R107" s="2023"/>
      <c r="S107" s="2023"/>
      <c r="T107" s="2023"/>
      <c r="U107" s="2023"/>
      <c r="V107" s="2023"/>
      <c r="W107" s="2023"/>
      <c r="X107" s="2023"/>
      <c r="Y107" s="2023"/>
      <c r="Z107" s="2023"/>
      <c r="AA107" s="2023"/>
      <c r="AB107" s="2023"/>
      <c r="AC107" s="2023"/>
      <c r="AD107" s="2023"/>
      <c r="AE107" s="2023"/>
      <c r="AF107" s="2023"/>
      <c r="AG107" s="2023"/>
      <c r="AH107" s="2032"/>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131"/>
      <c r="C108" s="2099"/>
      <c r="D108" s="2099"/>
      <c r="E108" s="2099"/>
      <c r="F108" s="2099"/>
      <c r="G108" s="2099"/>
      <c r="H108" s="2099"/>
      <c r="I108" s="2099" t="s">
        <v>2370</v>
      </c>
      <c r="J108" s="2099"/>
      <c r="K108" s="2099"/>
      <c r="L108" s="2099"/>
      <c r="M108" s="2099"/>
      <c r="N108" s="2099"/>
      <c r="O108" s="2099" t="s">
        <v>2346</v>
      </c>
      <c r="P108" s="2099"/>
      <c r="Q108" s="2099"/>
      <c r="R108" s="2099"/>
      <c r="S108" s="2099"/>
      <c r="T108" s="2099"/>
      <c r="U108" s="2099"/>
      <c r="V108" s="2135" t="s">
        <v>2345</v>
      </c>
      <c r="W108" s="2135"/>
      <c r="X108" s="2135"/>
      <c r="Y108" s="2135"/>
      <c r="Z108" s="2135"/>
      <c r="AA108" s="2135"/>
      <c r="AB108" s="2069" t="s">
        <v>2369</v>
      </c>
      <c r="AC108" s="2069"/>
      <c r="AD108" s="2069"/>
      <c r="AE108" s="2069"/>
      <c r="AF108" s="2069"/>
      <c r="AG108" s="2069"/>
      <c r="AH108" s="2136"/>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131"/>
      <c r="C109" s="2099"/>
      <c r="D109" s="2099"/>
      <c r="E109" s="2099"/>
      <c r="F109" s="2099"/>
      <c r="G109" s="2099"/>
      <c r="H109" s="2099"/>
      <c r="I109" s="2099"/>
      <c r="J109" s="2099"/>
      <c r="K109" s="2099"/>
      <c r="L109" s="2099"/>
      <c r="M109" s="2099"/>
      <c r="N109" s="2099"/>
      <c r="O109" s="2099"/>
      <c r="P109" s="2099"/>
      <c r="Q109" s="2099"/>
      <c r="R109" s="2099"/>
      <c r="S109" s="2099"/>
      <c r="T109" s="2099"/>
      <c r="U109" s="2099"/>
      <c r="V109" s="2135"/>
      <c r="W109" s="2135"/>
      <c r="X109" s="2135"/>
      <c r="Y109" s="2135"/>
      <c r="Z109" s="2135"/>
      <c r="AA109" s="2135"/>
      <c r="AB109" s="2069"/>
      <c r="AC109" s="2069"/>
      <c r="AD109" s="2069"/>
      <c r="AE109" s="2069"/>
      <c r="AF109" s="2069"/>
      <c r="AG109" s="2069"/>
      <c r="AH109" s="2136"/>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131" t="s">
        <v>2368</v>
      </c>
      <c r="C110" s="2099"/>
      <c r="D110" s="2099"/>
      <c r="E110" s="2099"/>
      <c r="F110" s="2099"/>
      <c r="G110" s="2099"/>
      <c r="H110" s="2099"/>
      <c r="I110" s="2072">
        <v>0</v>
      </c>
      <c r="J110" s="2072"/>
      <c r="K110" s="2072"/>
      <c r="L110" s="2072"/>
      <c r="M110" s="2072"/>
      <c r="N110" s="2072"/>
      <c r="O110" s="2072">
        <v>0</v>
      </c>
      <c r="P110" s="2072"/>
      <c r="Q110" s="2072"/>
      <c r="R110" s="2072"/>
      <c r="S110" s="2072"/>
      <c r="T110" s="2072"/>
      <c r="U110" s="2072"/>
      <c r="V110" s="2072">
        <v>0</v>
      </c>
      <c r="W110" s="2072"/>
      <c r="X110" s="2072"/>
      <c r="Y110" s="2072"/>
      <c r="Z110" s="2072"/>
      <c r="AA110" s="2072"/>
      <c r="AB110" s="2072">
        <v>0</v>
      </c>
      <c r="AC110" s="2072"/>
      <c r="AD110" s="2072"/>
      <c r="AE110" s="2072"/>
      <c r="AF110" s="2072"/>
      <c r="AG110" s="2072"/>
      <c r="AH110" s="2073"/>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131" t="s">
        <v>2367</v>
      </c>
      <c r="C111" s="2099"/>
      <c r="D111" s="2099"/>
      <c r="E111" s="2099"/>
      <c r="F111" s="2099"/>
      <c r="G111" s="2099"/>
      <c r="H111" s="2099"/>
      <c r="I111" s="2072">
        <v>0</v>
      </c>
      <c r="J111" s="2072"/>
      <c r="K111" s="2072"/>
      <c r="L111" s="2072"/>
      <c r="M111" s="2072"/>
      <c r="N111" s="2072"/>
      <c r="O111" s="2072">
        <v>0</v>
      </c>
      <c r="P111" s="2072"/>
      <c r="Q111" s="2072"/>
      <c r="R111" s="2072"/>
      <c r="S111" s="2072"/>
      <c r="T111" s="2072"/>
      <c r="U111" s="2072"/>
      <c r="V111" s="2072">
        <v>0</v>
      </c>
      <c r="W111" s="2072"/>
      <c r="X111" s="2072"/>
      <c r="Y111" s="2072"/>
      <c r="Z111" s="2072"/>
      <c r="AA111" s="2072"/>
      <c r="AB111" s="2072">
        <v>0</v>
      </c>
      <c r="AC111" s="2072"/>
      <c r="AD111" s="2072"/>
      <c r="AE111" s="2072"/>
      <c r="AF111" s="2072"/>
      <c r="AG111" s="2072"/>
      <c r="AH111" s="2073"/>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129" t="s">
        <v>2366</v>
      </c>
      <c r="C112" s="2130"/>
      <c r="D112" s="2130"/>
      <c r="E112" s="2130"/>
      <c r="F112" s="2130"/>
      <c r="G112" s="2130"/>
      <c r="H112" s="2130"/>
      <c r="I112" s="2066">
        <v>0</v>
      </c>
      <c r="J112" s="2066"/>
      <c r="K112" s="2066"/>
      <c r="L112" s="2066"/>
      <c r="M112" s="2066"/>
      <c r="N112" s="2066"/>
      <c r="O112" s="2066">
        <v>0</v>
      </c>
      <c r="P112" s="2066"/>
      <c r="Q112" s="2066"/>
      <c r="R112" s="2066"/>
      <c r="S112" s="2066"/>
      <c r="T112" s="2066"/>
      <c r="U112" s="2066"/>
      <c r="V112" s="2066">
        <v>0</v>
      </c>
      <c r="W112" s="2066"/>
      <c r="X112" s="2066"/>
      <c r="Y112" s="2066"/>
      <c r="Z112" s="2066"/>
      <c r="AA112" s="2066"/>
      <c r="AB112" s="2066">
        <v>0</v>
      </c>
      <c r="AC112" s="2066"/>
      <c r="AD112" s="2066"/>
      <c r="AE112" s="2066"/>
      <c r="AF112" s="2066"/>
      <c r="AG112" s="2066"/>
      <c r="AH112" s="2067"/>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249</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2365</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2283</v>
      </c>
      <c r="C115" s="1212"/>
      <c r="D115" s="1217"/>
      <c r="E115" s="1218"/>
      <c r="F115" s="2093"/>
      <c r="G115" s="2094"/>
      <c r="H115" s="2094"/>
      <c r="I115" s="2094"/>
      <c r="J115" s="2094"/>
      <c r="K115" s="2094"/>
      <c r="L115" s="2094"/>
      <c r="M115" s="2094"/>
      <c r="N115" s="2094"/>
      <c r="O115" s="2094"/>
      <c r="P115" s="2094"/>
      <c r="Q115" s="2094"/>
      <c r="R115" s="2095"/>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04" t="s">
        <v>2364</v>
      </c>
      <c r="C117" s="2105"/>
      <c r="D117" s="2105"/>
      <c r="E117" s="2105"/>
      <c r="F117" s="2105"/>
      <c r="G117" s="2105"/>
      <c r="H117" s="2105"/>
      <c r="I117" s="2105"/>
      <c r="J117" s="2105"/>
      <c r="K117" s="2105"/>
      <c r="L117" s="2105"/>
      <c r="M117" s="2105"/>
      <c r="N117" s="2105"/>
      <c r="O117" s="2105"/>
      <c r="P117" s="2105"/>
      <c r="Q117" s="2105"/>
      <c r="R117" s="2105"/>
      <c r="S117" s="2105"/>
      <c r="T117" s="2105"/>
      <c r="U117" s="2108" t="s">
        <v>545</v>
      </c>
      <c r="V117" s="2108"/>
      <c r="W117" s="2108"/>
      <c r="X117" s="2109"/>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06"/>
      <c r="C118" s="2107"/>
      <c r="D118" s="2107"/>
      <c r="E118" s="2107"/>
      <c r="F118" s="2107"/>
      <c r="G118" s="2107"/>
      <c r="H118" s="2107"/>
      <c r="I118" s="2107"/>
      <c r="J118" s="2107"/>
      <c r="K118" s="2107"/>
      <c r="L118" s="2107"/>
      <c r="M118" s="2107"/>
      <c r="N118" s="2107"/>
      <c r="O118" s="2107"/>
      <c r="P118" s="2107"/>
      <c r="Q118" s="2107"/>
      <c r="R118" s="2107"/>
      <c r="S118" s="2107"/>
      <c r="T118" s="2107"/>
      <c r="U118" s="2110"/>
      <c r="V118" s="2110"/>
      <c r="W118" s="2110"/>
      <c r="X118" s="2111"/>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06"/>
      <c r="C119" s="2107"/>
      <c r="D119" s="2107"/>
      <c r="E119" s="2107"/>
      <c r="F119" s="2107"/>
      <c r="G119" s="2107"/>
      <c r="H119" s="2107"/>
      <c r="I119" s="2107"/>
      <c r="J119" s="2107"/>
      <c r="K119" s="2107"/>
      <c r="L119" s="2107"/>
      <c r="M119" s="2107"/>
      <c r="N119" s="2107"/>
      <c r="O119" s="2107"/>
      <c r="P119" s="2107"/>
      <c r="Q119" s="2107"/>
      <c r="R119" s="2107"/>
      <c r="S119" s="2107"/>
      <c r="T119" s="2107"/>
      <c r="U119" s="2110"/>
      <c r="V119" s="2110"/>
      <c r="W119" s="2110"/>
      <c r="X119" s="2111"/>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06"/>
      <c r="C120" s="2107"/>
      <c r="D120" s="2107"/>
      <c r="E120" s="2107"/>
      <c r="F120" s="2107"/>
      <c r="G120" s="2107"/>
      <c r="H120" s="2107"/>
      <c r="I120" s="2107"/>
      <c r="J120" s="2107"/>
      <c r="K120" s="2107"/>
      <c r="L120" s="2107"/>
      <c r="M120" s="2107"/>
      <c r="N120" s="2107"/>
      <c r="O120" s="2107"/>
      <c r="P120" s="2107"/>
      <c r="Q120" s="2107"/>
      <c r="R120" s="2107"/>
      <c r="S120" s="2107"/>
      <c r="T120" s="2107"/>
      <c r="U120" s="2110"/>
      <c r="V120" s="2110"/>
      <c r="W120" s="2110"/>
      <c r="X120" s="2111"/>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12" t="s">
        <v>2364</v>
      </c>
      <c r="C121" s="2113"/>
      <c r="D121" s="2113"/>
      <c r="E121" s="2113"/>
      <c r="F121" s="2113"/>
      <c r="G121" s="2113"/>
      <c r="H121" s="2113"/>
      <c r="I121" s="2113"/>
      <c r="J121" s="2113"/>
      <c r="K121" s="2113"/>
      <c r="L121" s="2113"/>
      <c r="M121" s="2113"/>
      <c r="N121" s="2113"/>
      <c r="O121" s="2113"/>
      <c r="P121" s="2113"/>
      <c r="Q121" s="2113"/>
      <c r="R121" s="2113"/>
      <c r="S121" s="2113"/>
      <c r="T121" s="2113"/>
      <c r="U121" s="2116" t="s">
        <v>545</v>
      </c>
      <c r="V121" s="2116"/>
      <c r="W121" s="2116"/>
      <c r="X121" s="2117"/>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14"/>
      <c r="C122" s="2115"/>
      <c r="D122" s="2115"/>
      <c r="E122" s="2115"/>
      <c r="F122" s="2115"/>
      <c r="G122" s="2115"/>
      <c r="H122" s="2115"/>
      <c r="I122" s="2115"/>
      <c r="J122" s="2115"/>
      <c r="K122" s="2115"/>
      <c r="L122" s="2115"/>
      <c r="M122" s="2115"/>
      <c r="N122" s="2115"/>
      <c r="O122" s="2115"/>
      <c r="P122" s="2115"/>
      <c r="Q122" s="2115"/>
      <c r="R122" s="2115"/>
      <c r="S122" s="2115"/>
      <c r="T122" s="2115"/>
      <c r="U122" s="2118"/>
      <c r="V122" s="2118"/>
      <c r="W122" s="2118"/>
      <c r="X122" s="2119"/>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2363</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120" t="s">
        <v>2362</v>
      </c>
      <c r="Y125" s="2121"/>
      <c r="Z125" s="2121"/>
      <c r="AA125" s="2121"/>
      <c r="AB125" s="2121"/>
      <c r="AC125" s="2121"/>
      <c r="AD125" s="2121"/>
      <c r="AE125" s="2121"/>
      <c r="AF125" s="2121"/>
      <c r="AG125" s="2121"/>
      <c r="AH125" s="2121"/>
      <c r="AI125" s="2121"/>
      <c r="AJ125" s="2121"/>
      <c r="AK125" s="2121"/>
      <c r="AL125" s="2121"/>
      <c r="AM125" s="2121"/>
      <c r="AN125" s="2121"/>
      <c r="AO125" s="2121"/>
      <c r="AP125" s="2121"/>
      <c r="AQ125" s="2121"/>
      <c r="AR125" s="2121"/>
      <c r="AS125" s="2121"/>
      <c r="AT125" s="2121"/>
      <c r="AU125" s="2121"/>
      <c r="AV125" s="2121"/>
      <c r="AW125" s="2121"/>
      <c r="AX125" s="2121"/>
      <c r="AY125" s="2121"/>
      <c r="AZ125" s="2121"/>
      <c r="BA125" s="2121"/>
      <c r="BB125" s="2121"/>
      <c r="BC125" s="2121"/>
      <c r="BD125" s="2122"/>
      <c r="BE125" s="1194"/>
    </row>
    <row r="126" spans="1:57" ht="15.75" customHeight="1">
      <c r="A126" s="1190"/>
      <c r="B126" s="2126" t="s">
        <v>1575</v>
      </c>
      <c r="C126" s="2127"/>
      <c r="D126" s="2127"/>
      <c r="E126" s="2127"/>
      <c r="F126" s="2127"/>
      <c r="G126" s="2127"/>
      <c r="H126" s="2127"/>
      <c r="I126" s="2127"/>
      <c r="J126" s="2127"/>
      <c r="K126" s="2127"/>
      <c r="L126" s="2127"/>
      <c r="M126" s="2127"/>
      <c r="N126" s="2127"/>
      <c r="O126" s="2127"/>
      <c r="P126" s="2127"/>
      <c r="Q126" s="2127"/>
      <c r="R126" s="2127"/>
      <c r="S126" s="2127"/>
      <c r="T126" s="2127"/>
      <c r="U126" s="2128"/>
      <c r="V126" s="1190"/>
      <c r="W126" s="1190"/>
      <c r="X126" s="2123"/>
      <c r="Y126" s="2124"/>
      <c r="Z126" s="2124"/>
      <c r="AA126" s="2124"/>
      <c r="AB126" s="2124"/>
      <c r="AC126" s="2124"/>
      <c r="AD126" s="2124"/>
      <c r="AE126" s="2124"/>
      <c r="AF126" s="2124"/>
      <c r="AG126" s="2124"/>
      <c r="AH126" s="2124"/>
      <c r="AI126" s="2124"/>
      <c r="AJ126" s="2124"/>
      <c r="AK126" s="2124"/>
      <c r="AL126" s="2124"/>
      <c r="AM126" s="2124"/>
      <c r="AN126" s="2124"/>
      <c r="AO126" s="2124"/>
      <c r="AP126" s="2124"/>
      <c r="AQ126" s="2124"/>
      <c r="AR126" s="2124"/>
      <c r="AS126" s="2124"/>
      <c r="AT126" s="2124"/>
      <c r="AU126" s="2124"/>
      <c r="AV126" s="2124"/>
      <c r="AW126" s="2124"/>
      <c r="AX126" s="2124"/>
      <c r="AY126" s="2124"/>
      <c r="AZ126" s="2124"/>
      <c r="BA126" s="2124"/>
      <c r="BB126" s="2124"/>
      <c r="BC126" s="2124"/>
      <c r="BD126" s="2125"/>
      <c r="BE126" s="1194"/>
    </row>
    <row r="127" spans="1:57" ht="15.75" customHeight="1">
      <c r="A127" s="1190"/>
      <c r="B127" s="2036"/>
      <c r="C127" s="2037"/>
      <c r="D127" s="2037"/>
      <c r="E127" s="2037"/>
      <c r="F127" s="2037"/>
      <c r="G127" s="2037"/>
      <c r="H127" s="2037"/>
      <c r="I127" s="2099" t="s">
        <v>2361</v>
      </c>
      <c r="J127" s="2099"/>
      <c r="K127" s="2099"/>
      <c r="L127" s="2099"/>
      <c r="M127" s="2099"/>
      <c r="N127" s="2099"/>
      <c r="O127" s="2100" t="s">
        <v>2360</v>
      </c>
      <c r="P127" s="2100"/>
      <c r="Q127" s="2100"/>
      <c r="R127" s="2100"/>
      <c r="S127" s="2100"/>
      <c r="T127" s="2100"/>
      <c r="U127" s="2101"/>
      <c r="V127" s="1190"/>
      <c r="W127" s="1190"/>
      <c r="X127" s="2039" t="s">
        <v>2330</v>
      </c>
      <c r="Y127" s="2040"/>
      <c r="Z127" s="2040"/>
      <c r="AA127" s="2040"/>
      <c r="AB127" s="2040"/>
      <c r="AC127" s="2040"/>
      <c r="AD127" s="2040"/>
      <c r="AE127" s="2040"/>
      <c r="AF127" s="2040"/>
      <c r="AG127" s="2040"/>
      <c r="AH127" s="2040"/>
      <c r="AI127" s="2040"/>
      <c r="AJ127" s="2040"/>
      <c r="AK127" s="2040"/>
      <c r="AL127" s="2040"/>
      <c r="AM127" s="2040"/>
      <c r="AN127" s="2040"/>
      <c r="AO127" s="2040"/>
      <c r="AP127" s="2040"/>
      <c r="AQ127" s="2040"/>
      <c r="AR127" s="2040"/>
      <c r="AS127" s="2040"/>
      <c r="AT127" s="2040"/>
      <c r="AU127" s="2040"/>
      <c r="AV127" s="2040"/>
      <c r="AW127" s="2040"/>
      <c r="AX127" s="2040"/>
      <c r="AY127" s="2040"/>
      <c r="AZ127" s="2040"/>
      <c r="BA127" s="2040"/>
      <c r="BB127" s="2040"/>
      <c r="BC127" s="2040"/>
      <c r="BD127" s="2041"/>
      <c r="BE127" s="1194"/>
    </row>
    <row r="128" spans="1:57" ht="15.75" customHeight="1">
      <c r="A128" s="1190"/>
      <c r="B128" s="2070" t="s">
        <v>2344</v>
      </c>
      <c r="C128" s="2071"/>
      <c r="D128" s="2071"/>
      <c r="E128" s="2071"/>
      <c r="F128" s="2071"/>
      <c r="G128" s="2071"/>
      <c r="H128" s="2071"/>
      <c r="I128" s="2072">
        <v>0</v>
      </c>
      <c r="J128" s="2072"/>
      <c r="K128" s="2072"/>
      <c r="L128" s="2072"/>
      <c r="M128" s="2072"/>
      <c r="N128" s="2072"/>
      <c r="O128" s="2072">
        <v>0</v>
      </c>
      <c r="P128" s="2072"/>
      <c r="Q128" s="2072"/>
      <c r="R128" s="2072"/>
      <c r="S128" s="2072"/>
      <c r="T128" s="2072"/>
      <c r="U128" s="2073"/>
      <c r="V128" s="1190"/>
      <c r="W128" s="1190"/>
      <c r="X128" s="2039"/>
      <c r="Y128" s="2040"/>
      <c r="Z128" s="2040"/>
      <c r="AA128" s="2040"/>
      <c r="AB128" s="2040"/>
      <c r="AC128" s="2040"/>
      <c r="AD128" s="2040"/>
      <c r="AE128" s="2040"/>
      <c r="AF128" s="2040"/>
      <c r="AG128" s="2040"/>
      <c r="AH128" s="2040"/>
      <c r="AI128" s="2040"/>
      <c r="AJ128" s="2040"/>
      <c r="AK128" s="2040"/>
      <c r="AL128" s="2040"/>
      <c r="AM128" s="2040"/>
      <c r="AN128" s="2040"/>
      <c r="AO128" s="2040"/>
      <c r="AP128" s="2040"/>
      <c r="AQ128" s="2040"/>
      <c r="AR128" s="2040"/>
      <c r="AS128" s="2040"/>
      <c r="AT128" s="2040"/>
      <c r="AU128" s="2040"/>
      <c r="AV128" s="2040"/>
      <c r="AW128" s="2040"/>
      <c r="AX128" s="2040"/>
      <c r="AY128" s="2040"/>
      <c r="AZ128" s="2040"/>
      <c r="BA128" s="2040"/>
      <c r="BB128" s="2040"/>
      <c r="BC128" s="2040"/>
      <c r="BD128" s="2041"/>
      <c r="BE128" s="1194"/>
    </row>
    <row r="129" spans="1:57" ht="15.75" customHeight="1" thickBot="1">
      <c r="A129" s="1190"/>
      <c r="B129" s="2064" t="s">
        <v>2343</v>
      </c>
      <c r="C129" s="2065"/>
      <c r="D129" s="2065"/>
      <c r="E129" s="2065"/>
      <c r="F129" s="2065"/>
      <c r="G129" s="2065"/>
      <c r="H129" s="2065"/>
      <c r="I129" s="2066">
        <v>0</v>
      </c>
      <c r="J129" s="2066"/>
      <c r="K129" s="2066"/>
      <c r="L129" s="2066"/>
      <c r="M129" s="2066"/>
      <c r="N129" s="2066"/>
      <c r="O129" s="2102"/>
      <c r="P129" s="2102"/>
      <c r="Q129" s="2102"/>
      <c r="R129" s="2102"/>
      <c r="S129" s="2102"/>
      <c r="T129" s="2102"/>
      <c r="U129" s="2103"/>
      <c r="V129" s="1190"/>
      <c r="W129" s="1190"/>
      <c r="X129" s="2039"/>
      <c r="Y129" s="2040"/>
      <c r="Z129" s="2040"/>
      <c r="AA129" s="2040"/>
      <c r="AB129" s="2040"/>
      <c r="AC129" s="2040"/>
      <c r="AD129" s="2040"/>
      <c r="AE129" s="2040"/>
      <c r="AF129" s="2040"/>
      <c r="AG129" s="2040"/>
      <c r="AH129" s="2040"/>
      <c r="AI129" s="2040"/>
      <c r="AJ129" s="2040"/>
      <c r="AK129" s="2040"/>
      <c r="AL129" s="2040"/>
      <c r="AM129" s="2040"/>
      <c r="AN129" s="2040"/>
      <c r="AO129" s="2040"/>
      <c r="AP129" s="2040"/>
      <c r="AQ129" s="2040"/>
      <c r="AR129" s="2040"/>
      <c r="AS129" s="2040"/>
      <c r="AT129" s="2040"/>
      <c r="AU129" s="2040"/>
      <c r="AV129" s="2040"/>
      <c r="AW129" s="2040"/>
      <c r="AX129" s="2040"/>
      <c r="AY129" s="2040"/>
      <c r="AZ129" s="2040"/>
      <c r="BA129" s="2040"/>
      <c r="BB129" s="2040"/>
      <c r="BC129" s="2040"/>
      <c r="BD129" s="2041"/>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39"/>
      <c r="Y130" s="2040"/>
      <c r="Z130" s="2040"/>
      <c r="AA130" s="2040"/>
      <c r="AB130" s="2040"/>
      <c r="AC130" s="2040"/>
      <c r="AD130" s="2040"/>
      <c r="AE130" s="2040"/>
      <c r="AF130" s="2040"/>
      <c r="AG130" s="2040"/>
      <c r="AH130" s="2040"/>
      <c r="AI130" s="2040"/>
      <c r="AJ130" s="2040"/>
      <c r="AK130" s="2040"/>
      <c r="AL130" s="2040"/>
      <c r="AM130" s="2040"/>
      <c r="AN130" s="2040"/>
      <c r="AO130" s="2040"/>
      <c r="AP130" s="2040"/>
      <c r="AQ130" s="2040"/>
      <c r="AR130" s="2040"/>
      <c r="AS130" s="2040"/>
      <c r="AT130" s="2040"/>
      <c r="AU130" s="2040"/>
      <c r="AV130" s="2040"/>
      <c r="AW130" s="2040"/>
      <c r="AX130" s="2040"/>
      <c r="AY130" s="2040"/>
      <c r="AZ130" s="2040"/>
      <c r="BA130" s="2040"/>
      <c r="BB130" s="2040"/>
      <c r="BC130" s="2040"/>
      <c r="BD130" s="2041"/>
      <c r="BE130" s="1194"/>
    </row>
    <row r="131" spans="1:57" ht="15.75" customHeight="1" thickBot="1">
      <c r="A131" s="1190"/>
      <c r="B131" s="1209" t="s">
        <v>2359</v>
      </c>
      <c r="C131" s="1210"/>
      <c r="D131" s="1210"/>
      <c r="E131" s="1210"/>
      <c r="F131" s="1210"/>
      <c r="G131" s="1210"/>
      <c r="H131" s="1210"/>
      <c r="I131" s="1210"/>
      <c r="J131" s="1210"/>
      <c r="K131" s="1210"/>
      <c r="L131" s="1210"/>
      <c r="M131" s="1210"/>
      <c r="N131" s="1210"/>
      <c r="O131" s="1210"/>
      <c r="P131" s="1211"/>
      <c r="Q131" s="1195" t="s">
        <v>249</v>
      </c>
      <c r="R131" s="1195" t="s">
        <v>249</v>
      </c>
      <c r="S131" s="1190"/>
      <c r="T131" s="1190"/>
      <c r="U131" s="1190"/>
      <c r="V131" s="1190" t="s">
        <v>249</v>
      </c>
      <c r="W131" s="1190"/>
      <c r="X131" s="2039"/>
      <c r="Y131" s="2040"/>
      <c r="Z131" s="2040"/>
      <c r="AA131" s="2040"/>
      <c r="AB131" s="2040"/>
      <c r="AC131" s="2040"/>
      <c r="AD131" s="2040"/>
      <c r="AE131" s="2040"/>
      <c r="AF131" s="2040"/>
      <c r="AG131" s="2040"/>
      <c r="AH131" s="2040"/>
      <c r="AI131" s="2040"/>
      <c r="AJ131" s="2040"/>
      <c r="AK131" s="2040"/>
      <c r="AL131" s="2040"/>
      <c r="AM131" s="2040"/>
      <c r="AN131" s="2040"/>
      <c r="AO131" s="2040"/>
      <c r="AP131" s="2040"/>
      <c r="AQ131" s="2040"/>
      <c r="AR131" s="2040"/>
      <c r="AS131" s="2040"/>
      <c r="AT131" s="2040"/>
      <c r="AU131" s="2040"/>
      <c r="AV131" s="2040"/>
      <c r="AW131" s="2040"/>
      <c r="AX131" s="2040"/>
      <c r="AY131" s="2040"/>
      <c r="AZ131" s="2040"/>
      <c r="BA131" s="2040"/>
      <c r="BB131" s="2040"/>
      <c r="BC131" s="2040"/>
      <c r="BD131" s="2041"/>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39"/>
      <c r="Y132" s="2040"/>
      <c r="Z132" s="2040"/>
      <c r="AA132" s="2040"/>
      <c r="AB132" s="2040"/>
      <c r="AC132" s="2040"/>
      <c r="AD132" s="2040"/>
      <c r="AE132" s="2040"/>
      <c r="AF132" s="2040"/>
      <c r="AG132" s="2040"/>
      <c r="AH132" s="2040"/>
      <c r="AI132" s="2040"/>
      <c r="AJ132" s="2040"/>
      <c r="AK132" s="2040"/>
      <c r="AL132" s="2040"/>
      <c r="AM132" s="2040"/>
      <c r="AN132" s="2040"/>
      <c r="AO132" s="2040"/>
      <c r="AP132" s="2040"/>
      <c r="AQ132" s="2040"/>
      <c r="AR132" s="2040"/>
      <c r="AS132" s="2040"/>
      <c r="AT132" s="2040"/>
      <c r="AU132" s="2040"/>
      <c r="AV132" s="2040"/>
      <c r="AW132" s="2040"/>
      <c r="AX132" s="2040"/>
      <c r="AY132" s="2040"/>
      <c r="AZ132" s="2040"/>
      <c r="BA132" s="2040"/>
      <c r="BB132" s="2040"/>
      <c r="BC132" s="2040"/>
      <c r="BD132" s="2041"/>
      <c r="BE132" s="1194"/>
    </row>
    <row r="133" spans="1:57" ht="15.75" customHeight="1">
      <c r="A133" s="1190"/>
      <c r="B133" s="2096" t="s">
        <v>2358</v>
      </c>
      <c r="C133" s="2097"/>
      <c r="D133" s="2097"/>
      <c r="E133" s="2097"/>
      <c r="F133" s="2097"/>
      <c r="G133" s="2097"/>
      <c r="H133" s="2097"/>
      <c r="I133" s="2097"/>
      <c r="J133" s="2097"/>
      <c r="K133" s="2097"/>
      <c r="L133" s="2097"/>
      <c r="M133" s="2097"/>
      <c r="N133" s="2097"/>
      <c r="O133" s="2097"/>
      <c r="P133" s="2097"/>
      <c r="Q133" s="2097"/>
      <c r="R133" s="2097"/>
      <c r="S133" s="2097"/>
      <c r="T133" s="2097"/>
      <c r="U133" s="2098"/>
      <c r="V133" s="1190"/>
      <c r="W133" s="1190"/>
      <c r="X133" s="2039"/>
      <c r="Y133" s="2040"/>
      <c r="Z133" s="2040"/>
      <c r="AA133" s="2040"/>
      <c r="AB133" s="2040"/>
      <c r="AC133" s="2040"/>
      <c r="AD133" s="2040"/>
      <c r="AE133" s="2040"/>
      <c r="AF133" s="2040"/>
      <c r="AG133" s="2040"/>
      <c r="AH133" s="2040"/>
      <c r="AI133" s="2040"/>
      <c r="AJ133" s="2040"/>
      <c r="AK133" s="2040"/>
      <c r="AL133" s="2040"/>
      <c r="AM133" s="2040"/>
      <c r="AN133" s="2040"/>
      <c r="AO133" s="2040"/>
      <c r="AP133" s="2040"/>
      <c r="AQ133" s="2040"/>
      <c r="AR133" s="2040"/>
      <c r="AS133" s="2040"/>
      <c r="AT133" s="2040"/>
      <c r="AU133" s="2040"/>
      <c r="AV133" s="2040"/>
      <c r="AW133" s="2040"/>
      <c r="AX133" s="2040"/>
      <c r="AY133" s="2040"/>
      <c r="AZ133" s="2040"/>
      <c r="BA133" s="2040"/>
      <c r="BB133" s="2040"/>
      <c r="BC133" s="2040"/>
      <c r="BD133" s="2041"/>
      <c r="BE133" s="1194"/>
    </row>
    <row r="134" spans="1:57" ht="15.75" customHeight="1">
      <c r="A134" s="1190"/>
      <c r="B134" s="2036"/>
      <c r="C134" s="2037"/>
      <c r="D134" s="2037"/>
      <c r="E134" s="2037"/>
      <c r="F134" s="2037"/>
      <c r="G134" s="2037"/>
      <c r="H134" s="2037"/>
      <c r="I134" s="2074" t="s">
        <v>2346</v>
      </c>
      <c r="J134" s="2074"/>
      <c r="K134" s="2074"/>
      <c r="L134" s="2074"/>
      <c r="M134" s="2074"/>
      <c r="N134" s="2074"/>
      <c r="O134" s="2074"/>
      <c r="P134" s="2074" t="s">
        <v>2345</v>
      </c>
      <c r="Q134" s="2074"/>
      <c r="R134" s="2074"/>
      <c r="S134" s="2074"/>
      <c r="T134" s="2074"/>
      <c r="U134" s="2075"/>
      <c r="V134" s="1190"/>
      <c r="W134" s="1190"/>
      <c r="X134" s="2039"/>
      <c r="Y134" s="2040"/>
      <c r="Z134" s="2040"/>
      <c r="AA134" s="2040"/>
      <c r="AB134" s="2040"/>
      <c r="AC134" s="2040"/>
      <c r="AD134" s="2040"/>
      <c r="AE134" s="2040"/>
      <c r="AF134" s="2040"/>
      <c r="AG134" s="2040"/>
      <c r="AH134" s="2040"/>
      <c r="AI134" s="2040"/>
      <c r="AJ134" s="2040"/>
      <c r="AK134" s="2040"/>
      <c r="AL134" s="2040"/>
      <c r="AM134" s="2040"/>
      <c r="AN134" s="2040"/>
      <c r="AO134" s="2040"/>
      <c r="AP134" s="2040"/>
      <c r="AQ134" s="2040"/>
      <c r="AR134" s="2040"/>
      <c r="AS134" s="2040"/>
      <c r="AT134" s="2040"/>
      <c r="AU134" s="2040"/>
      <c r="AV134" s="2040"/>
      <c r="AW134" s="2040"/>
      <c r="AX134" s="2040"/>
      <c r="AY134" s="2040"/>
      <c r="AZ134" s="2040"/>
      <c r="BA134" s="2040"/>
      <c r="BB134" s="2040"/>
      <c r="BC134" s="2040"/>
      <c r="BD134" s="2041"/>
      <c r="BE134" s="1194"/>
    </row>
    <row r="135" spans="1:57" ht="15.75" customHeight="1">
      <c r="A135" s="1190"/>
      <c r="B135" s="2036"/>
      <c r="C135" s="2037"/>
      <c r="D135" s="2037"/>
      <c r="E135" s="2037"/>
      <c r="F135" s="2037"/>
      <c r="G135" s="2037"/>
      <c r="H135" s="2037"/>
      <c r="I135" s="2074"/>
      <c r="J135" s="2074"/>
      <c r="K135" s="2074"/>
      <c r="L135" s="2074"/>
      <c r="M135" s="2074"/>
      <c r="N135" s="2074"/>
      <c r="O135" s="2074"/>
      <c r="P135" s="2074"/>
      <c r="Q135" s="2074"/>
      <c r="R135" s="2074"/>
      <c r="S135" s="2074"/>
      <c r="T135" s="2074"/>
      <c r="U135" s="2075"/>
      <c r="V135" s="1190"/>
      <c r="W135" s="1190"/>
      <c r="X135" s="2039"/>
      <c r="Y135" s="2040"/>
      <c r="Z135" s="2040"/>
      <c r="AA135" s="2040"/>
      <c r="AB135" s="2040"/>
      <c r="AC135" s="2040"/>
      <c r="AD135" s="2040"/>
      <c r="AE135" s="2040"/>
      <c r="AF135" s="2040"/>
      <c r="AG135" s="2040"/>
      <c r="AH135" s="2040"/>
      <c r="AI135" s="2040"/>
      <c r="AJ135" s="2040"/>
      <c r="AK135" s="2040"/>
      <c r="AL135" s="2040"/>
      <c r="AM135" s="2040"/>
      <c r="AN135" s="2040"/>
      <c r="AO135" s="2040"/>
      <c r="AP135" s="2040"/>
      <c r="AQ135" s="2040"/>
      <c r="AR135" s="2040"/>
      <c r="AS135" s="2040"/>
      <c r="AT135" s="2040"/>
      <c r="AU135" s="2040"/>
      <c r="AV135" s="2040"/>
      <c r="AW135" s="2040"/>
      <c r="AX135" s="2040"/>
      <c r="AY135" s="2040"/>
      <c r="AZ135" s="2040"/>
      <c r="BA135" s="2040"/>
      <c r="BB135" s="2040"/>
      <c r="BC135" s="2040"/>
      <c r="BD135" s="2041"/>
      <c r="BE135" s="1194"/>
    </row>
    <row r="136" spans="1:57" ht="15.75" customHeight="1">
      <c r="A136" s="1190"/>
      <c r="B136" s="2070" t="s">
        <v>2344</v>
      </c>
      <c r="C136" s="2071"/>
      <c r="D136" s="2071"/>
      <c r="E136" s="2071"/>
      <c r="F136" s="2071"/>
      <c r="G136" s="2071"/>
      <c r="H136" s="2071"/>
      <c r="I136" s="2072">
        <v>0</v>
      </c>
      <c r="J136" s="2072"/>
      <c r="K136" s="2072"/>
      <c r="L136" s="2072"/>
      <c r="M136" s="2072"/>
      <c r="N136" s="2072"/>
      <c r="O136" s="2072"/>
      <c r="P136" s="2072">
        <v>0</v>
      </c>
      <c r="Q136" s="2072"/>
      <c r="R136" s="2072"/>
      <c r="S136" s="2072"/>
      <c r="T136" s="2072"/>
      <c r="U136" s="2073"/>
      <c r="V136" s="1190"/>
      <c r="W136" s="1190"/>
      <c r="X136" s="2039"/>
      <c r="Y136" s="2040"/>
      <c r="Z136" s="2040"/>
      <c r="AA136" s="2040"/>
      <c r="AB136" s="2040"/>
      <c r="AC136" s="2040"/>
      <c r="AD136" s="2040"/>
      <c r="AE136" s="2040"/>
      <c r="AF136" s="2040"/>
      <c r="AG136" s="2040"/>
      <c r="AH136" s="2040"/>
      <c r="AI136" s="2040"/>
      <c r="AJ136" s="2040"/>
      <c r="AK136" s="2040"/>
      <c r="AL136" s="2040"/>
      <c r="AM136" s="2040"/>
      <c r="AN136" s="2040"/>
      <c r="AO136" s="2040"/>
      <c r="AP136" s="2040"/>
      <c r="AQ136" s="2040"/>
      <c r="AR136" s="2040"/>
      <c r="AS136" s="2040"/>
      <c r="AT136" s="2040"/>
      <c r="AU136" s="2040"/>
      <c r="AV136" s="2040"/>
      <c r="AW136" s="2040"/>
      <c r="AX136" s="2040"/>
      <c r="AY136" s="2040"/>
      <c r="AZ136" s="2040"/>
      <c r="BA136" s="2040"/>
      <c r="BB136" s="2040"/>
      <c r="BC136" s="2040"/>
      <c r="BD136" s="2041"/>
      <c r="BE136" s="1194"/>
    </row>
    <row r="137" spans="1:57" ht="15.75" customHeight="1" thickBot="1">
      <c r="A137" s="1190"/>
      <c r="B137" s="2064" t="s">
        <v>2343</v>
      </c>
      <c r="C137" s="2065"/>
      <c r="D137" s="2065"/>
      <c r="E137" s="2065"/>
      <c r="F137" s="2065"/>
      <c r="G137" s="2065"/>
      <c r="H137" s="2065"/>
      <c r="I137" s="2066">
        <v>0</v>
      </c>
      <c r="J137" s="2066"/>
      <c r="K137" s="2066"/>
      <c r="L137" s="2066"/>
      <c r="M137" s="2066"/>
      <c r="N137" s="2066"/>
      <c r="O137" s="2066"/>
      <c r="P137" s="2066">
        <v>0</v>
      </c>
      <c r="Q137" s="2066"/>
      <c r="R137" s="2066"/>
      <c r="S137" s="2066"/>
      <c r="T137" s="2066"/>
      <c r="U137" s="2067"/>
      <c r="V137" s="1190"/>
      <c r="W137" s="1190"/>
      <c r="X137" s="2042"/>
      <c r="Y137" s="2043"/>
      <c r="Z137" s="2043"/>
      <c r="AA137" s="2043"/>
      <c r="AB137" s="2043"/>
      <c r="AC137" s="2043"/>
      <c r="AD137" s="2043"/>
      <c r="AE137" s="2043"/>
      <c r="AF137" s="2043"/>
      <c r="AG137" s="2043"/>
      <c r="AH137" s="2043"/>
      <c r="AI137" s="2043"/>
      <c r="AJ137" s="2043"/>
      <c r="AK137" s="2043"/>
      <c r="AL137" s="2043"/>
      <c r="AM137" s="2043"/>
      <c r="AN137" s="2043"/>
      <c r="AO137" s="2043"/>
      <c r="AP137" s="2043"/>
      <c r="AQ137" s="2043"/>
      <c r="AR137" s="2043"/>
      <c r="AS137" s="2043"/>
      <c r="AT137" s="2043"/>
      <c r="AU137" s="2043"/>
      <c r="AV137" s="2043"/>
      <c r="AW137" s="2043"/>
      <c r="AX137" s="2043"/>
      <c r="AY137" s="2043"/>
      <c r="AZ137" s="2043"/>
      <c r="BA137" s="2043"/>
      <c r="BB137" s="2043"/>
      <c r="BC137" s="2043"/>
      <c r="BD137" s="2044"/>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091" t="s">
        <v>2357</v>
      </c>
      <c r="C139" s="2092"/>
      <c r="D139" s="2092"/>
      <c r="E139" s="2092"/>
      <c r="F139" s="2092"/>
      <c r="G139" s="2092"/>
      <c r="H139" s="2092"/>
      <c r="I139" s="2092"/>
      <c r="J139" s="2092"/>
      <c r="K139" s="2092"/>
      <c r="L139" s="2092"/>
      <c r="M139" s="2092"/>
      <c r="N139" s="2092"/>
      <c r="O139" s="2092"/>
      <c r="P139" s="2092"/>
      <c r="Q139" s="2092"/>
      <c r="R139" s="2092"/>
      <c r="S139" s="2092"/>
      <c r="T139" s="2092"/>
      <c r="U139" s="2092"/>
      <c r="V139" s="2092"/>
      <c r="W139" s="2092"/>
      <c r="X139" s="2092"/>
      <c r="Y139" s="2092"/>
      <c r="Z139" s="2092"/>
      <c r="AA139" s="2092"/>
      <c r="AB139" s="2092"/>
      <c r="AC139" s="2092"/>
      <c r="AD139" s="2092"/>
      <c r="AE139" s="2092"/>
      <c r="AF139" s="2092"/>
      <c r="AG139" s="2092"/>
      <c r="AH139" s="2079" t="s">
        <v>545</v>
      </c>
      <c r="AI139" s="2079"/>
      <c r="AJ139" s="2079"/>
      <c r="AK139" s="2079"/>
      <c r="AL139" s="2079"/>
      <c r="AM139" s="2079"/>
      <c r="AN139" s="2079"/>
      <c r="AO139" s="2079"/>
      <c r="AP139" s="2079"/>
      <c r="AQ139" s="2079"/>
      <c r="AR139" s="2079"/>
      <c r="AS139" s="2079"/>
      <c r="AT139" s="2079"/>
      <c r="AU139" s="2079"/>
      <c r="AV139" s="2079"/>
      <c r="AW139" s="2079"/>
      <c r="AX139" s="2080"/>
      <c r="AY139" s="1190"/>
      <c r="AZ139" s="1190"/>
      <c r="BA139" s="1190"/>
      <c r="BB139" s="1190"/>
      <c r="BC139" s="1190"/>
      <c r="BD139" s="1190"/>
      <c r="BE139" s="1194"/>
    </row>
    <row r="140" spans="1:57" ht="15.75" customHeight="1" thickBot="1">
      <c r="A140" s="1190"/>
      <c r="B140" s="2076" t="s">
        <v>2356</v>
      </c>
      <c r="C140" s="2077"/>
      <c r="D140" s="2077"/>
      <c r="E140" s="2077"/>
      <c r="F140" s="2077"/>
      <c r="G140" s="2077"/>
      <c r="H140" s="2077"/>
      <c r="I140" s="2077"/>
      <c r="J140" s="2077"/>
      <c r="K140" s="2077"/>
      <c r="L140" s="2077"/>
      <c r="M140" s="2077"/>
      <c r="N140" s="2077"/>
      <c r="O140" s="2077"/>
      <c r="P140" s="2077"/>
      <c r="Q140" s="2077"/>
      <c r="R140" s="2077"/>
      <c r="S140" s="2077"/>
      <c r="T140" s="2077"/>
      <c r="U140" s="2077"/>
      <c r="V140" s="2077"/>
      <c r="W140" s="2077"/>
      <c r="X140" s="2077"/>
      <c r="Y140" s="2077"/>
      <c r="Z140" s="2077"/>
      <c r="AA140" s="2077"/>
      <c r="AB140" s="2077"/>
      <c r="AC140" s="2077"/>
      <c r="AD140" s="2077"/>
      <c r="AE140" s="2077"/>
      <c r="AF140" s="2077"/>
      <c r="AG140" s="2078"/>
      <c r="AH140" s="2093"/>
      <c r="AI140" s="2094"/>
      <c r="AJ140" s="2094"/>
      <c r="AK140" s="2094"/>
      <c r="AL140" s="2094"/>
      <c r="AM140" s="2094"/>
      <c r="AN140" s="2094"/>
      <c r="AO140" s="2094"/>
      <c r="AP140" s="2094"/>
      <c r="AQ140" s="2094"/>
      <c r="AR140" s="2094"/>
      <c r="AS140" s="2094"/>
      <c r="AT140" s="2094"/>
      <c r="AU140" s="2094"/>
      <c r="AV140" s="2094"/>
      <c r="AW140" s="2094"/>
      <c r="AX140" s="2095"/>
      <c r="AY140" s="1190"/>
      <c r="AZ140" s="1190"/>
      <c r="BA140" s="1190"/>
      <c r="BB140" s="1190"/>
      <c r="BC140" s="1190"/>
      <c r="BD140" s="1190"/>
      <c r="BE140" s="1194"/>
    </row>
    <row r="141" spans="1:57" ht="15.75" customHeight="1">
      <c r="A141" s="1190"/>
      <c r="B141" s="2076" t="s">
        <v>2355</v>
      </c>
      <c r="C141" s="2077"/>
      <c r="D141" s="2077"/>
      <c r="E141" s="2077"/>
      <c r="F141" s="2077"/>
      <c r="G141" s="2077"/>
      <c r="H141" s="2077"/>
      <c r="I141" s="2077"/>
      <c r="J141" s="2077"/>
      <c r="K141" s="2077"/>
      <c r="L141" s="2077"/>
      <c r="M141" s="2077"/>
      <c r="N141" s="2077"/>
      <c r="O141" s="2077"/>
      <c r="P141" s="2077"/>
      <c r="Q141" s="2077"/>
      <c r="R141" s="2077"/>
      <c r="S141" s="2077"/>
      <c r="T141" s="2077"/>
      <c r="U141" s="2077"/>
      <c r="V141" s="2077"/>
      <c r="W141" s="2077"/>
      <c r="X141" s="2077"/>
      <c r="Y141" s="2077"/>
      <c r="Z141" s="2077"/>
      <c r="AA141" s="2077"/>
      <c r="AB141" s="2077"/>
      <c r="AC141" s="2077"/>
      <c r="AD141" s="2077"/>
      <c r="AE141" s="2077"/>
      <c r="AF141" s="2077"/>
      <c r="AG141" s="2078"/>
      <c r="AH141" s="2079" t="s">
        <v>545</v>
      </c>
      <c r="AI141" s="2079"/>
      <c r="AJ141" s="2079"/>
      <c r="AK141" s="2079"/>
      <c r="AL141" s="2079"/>
      <c r="AM141" s="2079"/>
      <c r="AN141" s="2079"/>
      <c r="AO141" s="2079"/>
      <c r="AP141" s="2079"/>
      <c r="AQ141" s="2079"/>
      <c r="AR141" s="2079"/>
      <c r="AS141" s="2079"/>
      <c r="AT141" s="2079"/>
      <c r="AU141" s="2079"/>
      <c r="AV141" s="2079"/>
      <c r="AW141" s="2079"/>
      <c r="AX141" s="2080"/>
      <c r="AY141" s="1190"/>
      <c r="AZ141" s="1190"/>
      <c r="BA141" s="1190"/>
      <c r="BB141" s="1190"/>
      <c r="BC141" s="1190"/>
      <c r="BD141" s="1190"/>
      <c r="BE141" s="1194"/>
    </row>
    <row r="142" spans="1:57" ht="15.75" customHeight="1">
      <c r="A142" s="1190"/>
      <c r="B142" s="2081" t="s">
        <v>2354</v>
      </c>
      <c r="C142" s="2082"/>
      <c r="D142" s="2082"/>
      <c r="E142" s="2082"/>
      <c r="F142" s="2082"/>
      <c r="G142" s="2082"/>
      <c r="H142" s="2082"/>
      <c r="I142" s="2082"/>
      <c r="J142" s="2082"/>
      <c r="K142" s="2082"/>
      <c r="L142" s="2082"/>
      <c r="M142" s="2082"/>
      <c r="N142" s="2082"/>
      <c r="O142" s="2082"/>
      <c r="P142" s="2082"/>
      <c r="Q142" s="2082"/>
      <c r="R142" s="2083" t="s">
        <v>2353</v>
      </c>
      <c r="S142" s="2083"/>
      <c r="T142" s="2083"/>
      <c r="U142" s="2083"/>
      <c r="V142" s="2083"/>
      <c r="W142" s="2083"/>
      <c r="X142" s="2083"/>
      <c r="Y142" s="2083"/>
      <c r="Z142" s="2083"/>
      <c r="AA142" s="2083"/>
      <c r="AB142" s="2083"/>
      <c r="AC142" s="2083"/>
      <c r="AD142" s="2083"/>
      <c r="AE142" s="2083"/>
      <c r="AF142" s="2083"/>
      <c r="AG142" s="2083"/>
      <c r="AH142" s="2083"/>
      <c r="AI142" s="2083"/>
      <c r="AJ142" s="2083"/>
      <c r="AK142" s="2083"/>
      <c r="AL142" s="2083"/>
      <c r="AM142" s="2083"/>
      <c r="AN142" s="2083"/>
      <c r="AO142" s="2083"/>
      <c r="AP142" s="2083"/>
      <c r="AQ142" s="2083"/>
      <c r="AR142" s="2083"/>
      <c r="AS142" s="2083"/>
      <c r="AT142" s="2083"/>
      <c r="AU142" s="2083"/>
      <c r="AV142" s="2083"/>
      <c r="AW142" s="2083"/>
      <c r="AX142" s="2084"/>
      <c r="AY142" s="1190"/>
      <c r="AZ142" s="1190"/>
      <c r="BA142" s="1190"/>
      <c r="BB142" s="1190"/>
      <c r="BC142" s="1190" t="s">
        <v>249</v>
      </c>
      <c r="BD142" s="1190"/>
      <c r="BE142" s="1194"/>
    </row>
    <row r="143" spans="1:57" ht="15.75" customHeight="1">
      <c r="A143" s="1190"/>
      <c r="B143" s="2085" t="s">
        <v>2352</v>
      </c>
      <c r="C143" s="2086"/>
      <c r="D143" s="2086"/>
      <c r="E143" s="2086"/>
      <c r="F143" s="2086"/>
      <c r="G143" s="2086"/>
      <c r="H143" s="2086"/>
      <c r="I143" s="2086"/>
      <c r="J143" s="2086"/>
      <c r="K143" s="2086"/>
      <c r="L143" s="2086"/>
      <c r="M143" s="2086"/>
      <c r="N143" s="2086"/>
      <c r="O143" s="2086"/>
      <c r="P143" s="2086"/>
      <c r="Q143" s="2086"/>
      <c r="R143" s="2086"/>
      <c r="S143" s="2086"/>
      <c r="T143" s="2086"/>
      <c r="U143" s="2086"/>
      <c r="V143" s="2086"/>
      <c r="W143" s="2086"/>
      <c r="X143" s="2086"/>
      <c r="Y143" s="2086"/>
      <c r="Z143" s="2086"/>
      <c r="AA143" s="2086"/>
      <c r="AB143" s="2086"/>
      <c r="AC143" s="2086"/>
      <c r="AD143" s="2086"/>
      <c r="AE143" s="2086"/>
      <c r="AF143" s="2086"/>
      <c r="AG143" s="2086"/>
      <c r="AH143" s="2086"/>
      <c r="AI143" s="2086"/>
      <c r="AJ143" s="2086"/>
      <c r="AK143" s="2086"/>
      <c r="AL143" s="2086"/>
      <c r="AM143" s="2086"/>
      <c r="AN143" s="2086"/>
      <c r="AO143" s="2086"/>
      <c r="AP143" s="2086"/>
      <c r="AQ143" s="2086"/>
      <c r="AR143" s="2086"/>
      <c r="AS143" s="2086"/>
      <c r="AT143" s="2086"/>
      <c r="AU143" s="2086"/>
      <c r="AV143" s="2086"/>
      <c r="AW143" s="2086"/>
      <c r="AX143" s="2087"/>
      <c r="AY143" s="1190"/>
      <c r="AZ143" s="1190"/>
      <c r="BA143" s="1190"/>
      <c r="BB143" s="1190"/>
      <c r="BC143" s="1190"/>
      <c r="BD143" s="1190"/>
      <c r="BE143" s="1194"/>
    </row>
    <row r="144" spans="1:57" ht="15.75" customHeight="1">
      <c r="A144" s="1190"/>
      <c r="B144" s="2085"/>
      <c r="C144" s="2086"/>
      <c r="D144" s="2086"/>
      <c r="E144" s="2086"/>
      <c r="F144" s="2086"/>
      <c r="G144" s="2086"/>
      <c r="H144" s="2086"/>
      <c r="I144" s="2086"/>
      <c r="J144" s="2086"/>
      <c r="K144" s="2086"/>
      <c r="L144" s="2086"/>
      <c r="M144" s="2086"/>
      <c r="N144" s="2086"/>
      <c r="O144" s="2086"/>
      <c r="P144" s="2086"/>
      <c r="Q144" s="2086"/>
      <c r="R144" s="2086"/>
      <c r="S144" s="2086"/>
      <c r="T144" s="2086"/>
      <c r="U144" s="2086"/>
      <c r="V144" s="2086"/>
      <c r="W144" s="2086"/>
      <c r="X144" s="2086"/>
      <c r="Y144" s="2086"/>
      <c r="Z144" s="2086"/>
      <c r="AA144" s="2086"/>
      <c r="AB144" s="2086"/>
      <c r="AC144" s="2086"/>
      <c r="AD144" s="2086"/>
      <c r="AE144" s="2086"/>
      <c r="AF144" s="2086"/>
      <c r="AG144" s="2086"/>
      <c r="AH144" s="2086"/>
      <c r="AI144" s="2086"/>
      <c r="AJ144" s="2086"/>
      <c r="AK144" s="2086"/>
      <c r="AL144" s="2086"/>
      <c r="AM144" s="2086"/>
      <c r="AN144" s="2086"/>
      <c r="AO144" s="2086"/>
      <c r="AP144" s="2086"/>
      <c r="AQ144" s="2086"/>
      <c r="AR144" s="2086"/>
      <c r="AS144" s="2086"/>
      <c r="AT144" s="2086"/>
      <c r="AU144" s="2086"/>
      <c r="AV144" s="2086"/>
      <c r="AW144" s="2086"/>
      <c r="AX144" s="2087"/>
      <c r="AY144" s="1190"/>
      <c r="AZ144" s="1190"/>
      <c r="BA144" s="1190"/>
      <c r="BB144" s="1190"/>
      <c r="BC144" s="1190"/>
      <c r="BD144" s="1190"/>
      <c r="BE144" s="1194"/>
    </row>
    <row r="145" spans="1:57" ht="15.75" customHeight="1">
      <c r="A145" s="1190"/>
      <c r="B145" s="2085"/>
      <c r="C145" s="2086"/>
      <c r="D145" s="2086"/>
      <c r="E145" s="2086"/>
      <c r="F145" s="2086"/>
      <c r="G145" s="2086"/>
      <c r="H145" s="2086"/>
      <c r="I145" s="2086"/>
      <c r="J145" s="2086"/>
      <c r="K145" s="2086"/>
      <c r="L145" s="2086"/>
      <c r="M145" s="2086"/>
      <c r="N145" s="2086"/>
      <c r="O145" s="2086"/>
      <c r="P145" s="2086"/>
      <c r="Q145" s="2086"/>
      <c r="R145" s="2086"/>
      <c r="S145" s="2086"/>
      <c r="T145" s="2086"/>
      <c r="U145" s="2086"/>
      <c r="V145" s="2086"/>
      <c r="W145" s="2086"/>
      <c r="X145" s="2086"/>
      <c r="Y145" s="2086"/>
      <c r="Z145" s="2086"/>
      <c r="AA145" s="2086"/>
      <c r="AB145" s="2086"/>
      <c r="AC145" s="2086"/>
      <c r="AD145" s="2086"/>
      <c r="AE145" s="2086"/>
      <c r="AF145" s="2086"/>
      <c r="AG145" s="2086"/>
      <c r="AH145" s="2086"/>
      <c r="AI145" s="2086"/>
      <c r="AJ145" s="2086"/>
      <c r="AK145" s="2086"/>
      <c r="AL145" s="2086"/>
      <c r="AM145" s="2086"/>
      <c r="AN145" s="2086"/>
      <c r="AO145" s="2086"/>
      <c r="AP145" s="2086"/>
      <c r="AQ145" s="2086"/>
      <c r="AR145" s="2086"/>
      <c r="AS145" s="2086"/>
      <c r="AT145" s="2086"/>
      <c r="AU145" s="2086"/>
      <c r="AV145" s="2086"/>
      <c r="AW145" s="2086"/>
      <c r="AX145" s="2087"/>
      <c r="AY145" s="1190"/>
      <c r="AZ145" s="1190"/>
      <c r="BA145" s="1190"/>
      <c r="BB145" s="1190"/>
      <c r="BC145" s="1190"/>
      <c r="BD145" s="1190"/>
      <c r="BE145" s="1194"/>
    </row>
    <row r="146" spans="1:57" ht="15.75" customHeight="1">
      <c r="A146" s="1190"/>
      <c r="B146" s="2085"/>
      <c r="C146" s="2086"/>
      <c r="D146" s="2086"/>
      <c r="E146" s="2086"/>
      <c r="F146" s="2086"/>
      <c r="G146" s="2086"/>
      <c r="H146" s="2086"/>
      <c r="I146" s="2086"/>
      <c r="J146" s="2086"/>
      <c r="K146" s="2086"/>
      <c r="L146" s="2086"/>
      <c r="M146" s="2086"/>
      <c r="N146" s="2086"/>
      <c r="O146" s="2086"/>
      <c r="P146" s="2086"/>
      <c r="Q146" s="2086"/>
      <c r="R146" s="2086"/>
      <c r="S146" s="2086"/>
      <c r="T146" s="2086"/>
      <c r="U146" s="2086"/>
      <c r="V146" s="2086"/>
      <c r="W146" s="2086"/>
      <c r="X146" s="2086"/>
      <c r="Y146" s="2086"/>
      <c r="Z146" s="2086"/>
      <c r="AA146" s="2086"/>
      <c r="AB146" s="2086"/>
      <c r="AC146" s="2086"/>
      <c r="AD146" s="2086"/>
      <c r="AE146" s="2086"/>
      <c r="AF146" s="2086"/>
      <c r="AG146" s="2086"/>
      <c r="AH146" s="2086"/>
      <c r="AI146" s="2086"/>
      <c r="AJ146" s="2086"/>
      <c r="AK146" s="2086"/>
      <c r="AL146" s="2086"/>
      <c r="AM146" s="2086"/>
      <c r="AN146" s="2086"/>
      <c r="AO146" s="2086"/>
      <c r="AP146" s="2086"/>
      <c r="AQ146" s="2086"/>
      <c r="AR146" s="2086"/>
      <c r="AS146" s="2086"/>
      <c r="AT146" s="2086"/>
      <c r="AU146" s="2086"/>
      <c r="AV146" s="2086"/>
      <c r="AW146" s="2086"/>
      <c r="AX146" s="2087"/>
      <c r="AY146" s="1190"/>
      <c r="AZ146" s="1190"/>
      <c r="BA146" s="1190"/>
      <c r="BB146" s="1190"/>
      <c r="BC146" s="1190"/>
      <c r="BD146" s="1190"/>
      <c r="BE146" s="1194"/>
    </row>
    <row r="147" spans="1:57" ht="15.75" customHeight="1">
      <c r="A147" s="1190"/>
      <c r="B147" s="2085"/>
      <c r="C147" s="2086"/>
      <c r="D147" s="2086"/>
      <c r="E147" s="2086"/>
      <c r="F147" s="2086"/>
      <c r="G147" s="2086"/>
      <c r="H147" s="2086"/>
      <c r="I147" s="2086"/>
      <c r="J147" s="2086"/>
      <c r="K147" s="2086"/>
      <c r="L147" s="2086"/>
      <c r="M147" s="2086"/>
      <c r="N147" s="2086"/>
      <c r="O147" s="2086"/>
      <c r="P147" s="2086"/>
      <c r="Q147" s="2086"/>
      <c r="R147" s="2086"/>
      <c r="S147" s="2086"/>
      <c r="T147" s="2086"/>
      <c r="U147" s="2086"/>
      <c r="V147" s="2086"/>
      <c r="W147" s="2086"/>
      <c r="X147" s="2086"/>
      <c r="Y147" s="2086"/>
      <c r="Z147" s="2086"/>
      <c r="AA147" s="2086"/>
      <c r="AB147" s="2086"/>
      <c r="AC147" s="2086"/>
      <c r="AD147" s="2086"/>
      <c r="AE147" s="2086"/>
      <c r="AF147" s="2086"/>
      <c r="AG147" s="2086"/>
      <c r="AH147" s="2086"/>
      <c r="AI147" s="2086"/>
      <c r="AJ147" s="2086"/>
      <c r="AK147" s="2086"/>
      <c r="AL147" s="2086"/>
      <c r="AM147" s="2086"/>
      <c r="AN147" s="2086"/>
      <c r="AO147" s="2086"/>
      <c r="AP147" s="2086"/>
      <c r="AQ147" s="2086"/>
      <c r="AR147" s="2086"/>
      <c r="AS147" s="2086"/>
      <c r="AT147" s="2086"/>
      <c r="AU147" s="2086"/>
      <c r="AV147" s="2086"/>
      <c r="AW147" s="2086"/>
      <c r="AX147" s="2087"/>
      <c r="AY147" s="1190"/>
      <c r="AZ147" s="1190"/>
      <c r="BA147" s="1190"/>
      <c r="BB147" s="1190"/>
      <c r="BC147" s="1190"/>
      <c r="BD147" s="1190"/>
      <c r="BE147" s="1194"/>
    </row>
    <row r="148" spans="1:57" ht="15.75" customHeight="1">
      <c r="A148" s="1190"/>
      <c r="B148" s="2085"/>
      <c r="C148" s="2086"/>
      <c r="D148" s="2086"/>
      <c r="E148" s="2086"/>
      <c r="F148" s="2086"/>
      <c r="G148" s="2086"/>
      <c r="H148" s="2086"/>
      <c r="I148" s="2086"/>
      <c r="J148" s="2086"/>
      <c r="K148" s="2086"/>
      <c r="L148" s="2086"/>
      <c r="M148" s="2086"/>
      <c r="N148" s="2086"/>
      <c r="O148" s="2086"/>
      <c r="P148" s="2086"/>
      <c r="Q148" s="2086"/>
      <c r="R148" s="2086"/>
      <c r="S148" s="2086"/>
      <c r="T148" s="2086"/>
      <c r="U148" s="2086"/>
      <c r="V148" s="2086"/>
      <c r="W148" s="2086"/>
      <c r="X148" s="2086"/>
      <c r="Y148" s="2086"/>
      <c r="Z148" s="2086"/>
      <c r="AA148" s="2086"/>
      <c r="AB148" s="2086"/>
      <c r="AC148" s="2086"/>
      <c r="AD148" s="2086"/>
      <c r="AE148" s="2086"/>
      <c r="AF148" s="2086"/>
      <c r="AG148" s="2086"/>
      <c r="AH148" s="2086"/>
      <c r="AI148" s="2086"/>
      <c r="AJ148" s="2086"/>
      <c r="AK148" s="2086"/>
      <c r="AL148" s="2086"/>
      <c r="AM148" s="2086"/>
      <c r="AN148" s="2086"/>
      <c r="AO148" s="2086"/>
      <c r="AP148" s="2086"/>
      <c r="AQ148" s="2086"/>
      <c r="AR148" s="2086"/>
      <c r="AS148" s="2086"/>
      <c r="AT148" s="2086"/>
      <c r="AU148" s="2086"/>
      <c r="AV148" s="2086"/>
      <c r="AW148" s="2086"/>
      <c r="AX148" s="2087"/>
      <c r="AY148" s="1190"/>
      <c r="AZ148" s="1190"/>
      <c r="BA148" s="1190"/>
      <c r="BB148" s="1190"/>
      <c r="BC148" s="1190"/>
      <c r="BD148" s="1190"/>
      <c r="BE148" s="1194"/>
    </row>
    <row r="149" spans="1:57" ht="15.75" customHeight="1">
      <c r="A149" s="1190"/>
      <c r="B149" s="2085"/>
      <c r="C149" s="2086"/>
      <c r="D149" s="2086"/>
      <c r="E149" s="2086"/>
      <c r="F149" s="2086"/>
      <c r="G149" s="2086"/>
      <c r="H149" s="2086"/>
      <c r="I149" s="2086"/>
      <c r="J149" s="2086"/>
      <c r="K149" s="2086"/>
      <c r="L149" s="2086"/>
      <c r="M149" s="2086"/>
      <c r="N149" s="2086"/>
      <c r="O149" s="2086"/>
      <c r="P149" s="2086"/>
      <c r="Q149" s="2086"/>
      <c r="R149" s="2086"/>
      <c r="S149" s="2086"/>
      <c r="T149" s="2086"/>
      <c r="U149" s="2086"/>
      <c r="V149" s="2086"/>
      <c r="W149" s="2086"/>
      <c r="X149" s="2086"/>
      <c r="Y149" s="2086"/>
      <c r="Z149" s="2086"/>
      <c r="AA149" s="2086"/>
      <c r="AB149" s="2086"/>
      <c r="AC149" s="2086"/>
      <c r="AD149" s="2086"/>
      <c r="AE149" s="2086"/>
      <c r="AF149" s="2086"/>
      <c r="AG149" s="2086"/>
      <c r="AH149" s="2086"/>
      <c r="AI149" s="2086"/>
      <c r="AJ149" s="2086"/>
      <c r="AK149" s="2086"/>
      <c r="AL149" s="2086"/>
      <c r="AM149" s="2086"/>
      <c r="AN149" s="2086"/>
      <c r="AO149" s="2086"/>
      <c r="AP149" s="2086"/>
      <c r="AQ149" s="2086"/>
      <c r="AR149" s="2086"/>
      <c r="AS149" s="2086"/>
      <c r="AT149" s="2086"/>
      <c r="AU149" s="2086"/>
      <c r="AV149" s="2086"/>
      <c r="AW149" s="2086"/>
      <c r="AX149" s="2087"/>
      <c r="AY149" s="1190"/>
      <c r="AZ149" s="1190"/>
      <c r="BA149" s="1190"/>
      <c r="BB149" s="1190"/>
      <c r="BC149" s="1190"/>
      <c r="BD149" s="1190"/>
      <c r="BE149" s="1194"/>
    </row>
    <row r="150" spans="1:57" ht="15.75" customHeight="1">
      <c r="A150" s="1190"/>
      <c r="B150" s="2085"/>
      <c r="C150" s="2086"/>
      <c r="D150" s="2086"/>
      <c r="E150" s="2086"/>
      <c r="F150" s="2086"/>
      <c r="G150" s="2086"/>
      <c r="H150" s="2086"/>
      <c r="I150" s="2086"/>
      <c r="J150" s="2086"/>
      <c r="K150" s="2086"/>
      <c r="L150" s="2086"/>
      <c r="M150" s="2086"/>
      <c r="N150" s="2086"/>
      <c r="O150" s="2086"/>
      <c r="P150" s="2086"/>
      <c r="Q150" s="2086"/>
      <c r="R150" s="2086"/>
      <c r="S150" s="2086"/>
      <c r="T150" s="2086"/>
      <c r="U150" s="2086"/>
      <c r="V150" s="2086"/>
      <c r="W150" s="2086"/>
      <c r="X150" s="2086"/>
      <c r="Y150" s="2086"/>
      <c r="Z150" s="2086"/>
      <c r="AA150" s="2086"/>
      <c r="AB150" s="2086"/>
      <c r="AC150" s="2086"/>
      <c r="AD150" s="2086"/>
      <c r="AE150" s="2086"/>
      <c r="AF150" s="2086"/>
      <c r="AG150" s="2086"/>
      <c r="AH150" s="2086"/>
      <c r="AI150" s="2086"/>
      <c r="AJ150" s="2086"/>
      <c r="AK150" s="2086"/>
      <c r="AL150" s="2086"/>
      <c r="AM150" s="2086"/>
      <c r="AN150" s="2086"/>
      <c r="AO150" s="2086"/>
      <c r="AP150" s="2086"/>
      <c r="AQ150" s="2086"/>
      <c r="AR150" s="2086"/>
      <c r="AS150" s="2086"/>
      <c r="AT150" s="2086"/>
      <c r="AU150" s="2086"/>
      <c r="AV150" s="2086"/>
      <c r="AW150" s="2086"/>
      <c r="AX150" s="2087"/>
      <c r="AY150" s="1190"/>
      <c r="AZ150" s="1190"/>
      <c r="BA150" s="1190"/>
      <c r="BB150" s="1190"/>
      <c r="BC150" s="1190"/>
      <c r="BD150" s="1190"/>
      <c r="BE150" s="1194"/>
    </row>
    <row r="151" spans="1:57" ht="15.75" customHeight="1">
      <c r="A151" s="1190"/>
      <c r="B151" s="2085"/>
      <c r="C151" s="2086"/>
      <c r="D151" s="2086"/>
      <c r="E151" s="2086"/>
      <c r="F151" s="2086"/>
      <c r="G151" s="2086"/>
      <c r="H151" s="2086"/>
      <c r="I151" s="2086"/>
      <c r="J151" s="2086"/>
      <c r="K151" s="2086"/>
      <c r="L151" s="2086"/>
      <c r="M151" s="2086"/>
      <c r="N151" s="2086"/>
      <c r="O151" s="2086"/>
      <c r="P151" s="2086"/>
      <c r="Q151" s="2086"/>
      <c r="R151" s="2086"/>
      <c r="S151" s="2086"/>
      <c r="T151" s="2086"/>
      <c r="U151" s="2086"/>
      <c r="V151" s="2086"/>
      <c r="W151" s="2086"/>
      <c r="X151" s="2086"/>
      <c r="Y151" s="2086"/>
      <c r="Z151" s="2086"/>
      <c r="AA151" s="2086"/>
      <c r="AB151" s="2086"/>
      <c r="AC151" s="2086"/>
      <c r="AD151" s="2086"/>
      <c r="AE151" s="2086"/>
      <c r="AF151" s="2086"/>
      <c r="AG151" s="2086"/>
      <c r="AH151" s="2086"/>
      <c r="AI151" s="2086"/>
      <c r="AJ151" s="2086"/>
      <c r="AK151" s="2086"/>
      <c r="AL151" s="2086"/>
      <c r="AM151" s="2086"/>
      <c r="AN151" s="2086"/>
      <c r="AO151" s="2086"/>
      <c r="AP151" s="2086"/>
      <c r="AQ151" s="2086"/>
      <c r="AR151" s="2086"/>
      <c r="AS151" s="2086"/>
      <c r="AT151" s="2086"/>
      <c r="AU151" s="2086"/>
      <c r="AV151" s="2086"/>
      <c r="AW151" s="2086"/>
      <c r="AX151" s="2087"/>
      <c r="AY151" s="1190"/>
      <c r="AZ151" s="1190"/>
      <c r="BA151" s="1190"/>
      <c r="BB151" s="1190"/>
      <c r="BC151" s="1190"/>
      <c r="BD151" s="1190"/>
      <c r="BE151" s="1194"/>
    </row>
    <row r="152" spans="1:57" ht="15.75" customHeight="1" thickBot="1">
      <c r="A152" s="1190"/>
      <c r="B152" s="2088"/>
      <c r="C152" s="2089"/>
      <c r="D152" s="2089"/>
      <c r="E152" s="2089"/>
      <c r="F152" s="2089"/>
      <c r="G152" s="2089"/>
      <c r="H152" s="2089"/>
      <c r="I152" s="2089"/>
      <c r="J152" s="2089"/>
      <c r="K152" s="2089"/>
      <c r="L152" s="2089"/>
      <c r="M152" s="2089"/>
      <c r="N152" s="2089"/>
      <c r="O152" s="2089"/>
      <c r="P152" s="2089"/>
      <c r="Q152" s="2089"/>
      <c r="R152" s="2089"/>
      <c r="S152" s="2089"/>
      <c r="T152" s="2089"/>
      <c r="U152" s="2089"/>
      <c r="V152" s="2089"/>
      <c r="W152" s="2089"/>
      <c r="X152" s="2089"/>
      <c r="Y152" s="2089"/>
      <c r="Z152" s="2089"/>
      <c r="AA152" s="2089"/>
      <c r="AB152" s="2089"/>
      <c r="AC152" s="2089"/>
      <c r="AD152" s="2089"/>
      <c r="AE152" s="2089"/>
      <c r="AF152" s="2089"/>
      <c r="AG152" s="2089"/>
      <c r="AH152" s="2089"/>
      <c r="AI152" s="2089"/>
      <c r="AJ152" s="2089"/>
      <c r="AK152" s="2089"/>
      <c r="AL152" s="2089"/>
      <c r="AM152" s="2089"/>
      <c r="AN152" s="2089"/>
      <c r="AO152" s="2089"/>
      <c r="AP152" s="2089"/>
      <c r="AQ152" s="2089"/>
      <c r="AR152" s="2089"/>
      <c r="AS152" s="2089"/>
      <c r="AT152" s="2089"/>
      <c r="AU152" s="2089"/>
      <c r="AV152" s="2089"/>
      <c r="AW152" s="2089"/>
      <c r="AX152" s="2090"/>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2351</v>
      </c>
      <c r="C154" s="1210"/>
      <c r="D154" s="1210"/>
      <c r="E154" s="1210"/>
      <c r="F154" s="1210"/>
      <c r="G154" s="1210"/>
      <c r="H154" s="1210"/>
      <c r="I154" s="1210"/>
      <c r="J154" s="1210"/>
      <c r="K154" s="1210"/>
      <c r="L154" s="1210"/>
      <c r="M154" s="1211"/>
      <c r="N154" s="1195"/>
      <c r="O154" s="1195"/>
      <c r="P154" s="1190"/>
      <c r="Q154" s="1190"/>
      <c r="R154" s="1190"/>
      <c r="S154" s="1190"/>
      <c r="T154" s="1190"/>
      <c r="U154" s="1190" t="s">
        <v>249</v>
      </c>
      <c r="V154" s="1190"/>
      <c r="W154" s="1190"/>
      <c r="X154" s="1209" t="s">
        <v>2350</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68" t="s">
        <v>2349</v>
      </c>
      <c r="C156" s="2024"/>
      <c r="D156" s="2024"/>
      <c r="E156" s="2024"/>
      <c r="F156" s="2024"/>
      <c r="G156" s="2024"/>
      <c r="H156" s="2024"/>
      <c r="I156" s="2024"/>
      <c r="J156" s="2024"/>
      <c r="K156" s="2024"/>
      <c r="L156" s="2024"/>
      <c r="M156" s="2024"/>
      <c r="N156" s="2024"/>
      <c r="O156" s="2024"/>
      <c r="P156" s="2024"/>
      <c r="Q156" s="2024"/>
      <c r="R156" s="2024"/>
      <c r="S156" s="2024"/>
      <c r="T156" s="2024"/>
      <c r="U156" s="2025"/>
      <c r="V156" s="1190"/>
      <c r="W156" s="1192"/>
      <c r="X156" s="2068" t="s">
        <v>2348</v>
      </c>
      <c r="Y156" s="2024"/>
      <c r="Z156" s="2024"/>
      <c r="AA156" s="2024"/>
      <c r="AB156" s="2024"/>
      <c r="AC156" s="2024"/>
      <c r="AD156" s="2024"/>
      <c r="AE156" s="2024"/>
      <c r="AF156" s="2024"/>
      <c r="AG156" s="2024"/>
      <c r="AH156" s="2024"/>
      <c r="AI156" s="2024"/>
      <c r="AJ156" s="2024"/>
      <c r="AK156" s="2024"/>
      <c r="AL156" s="2024"/>
      <c r="AM156" s="2024"/>
      <c r="AN156" s="2024"/>
      <c r="AO156" s="2024"/>
      <c r="AP156" s="2024"/>
      <c r="AQ156" s="2025"/>
      <c r="AR156" s="1190"/>
      <c r="AS156" s="1190"/>
      <c r="AT156" s="1190"/>
      <c r="AU156" s="1190"/>
      <c r="AV156" s="1190"/>
      <c r="AW156" s="1190"/>
      <c r="AX156" s="1190"/>
      <c r="AY156" s="1190"/>
      <c r="AZ156" s="1190"/>
      <c r="BA156" s="1190"/>
      <c r="BB156" s="1190"/>
      <c r="BC156" s="1190"/>
      <c r="BD156" s="1190"/>
      <c r="BE156" s="1194"/>
    </row>
    <row r="157" spans="1:57" ht="15.75" customHeight="1">
      <c r="A157" s="1190"/>
      <c r="B157" s="2036"/>
      <c r="C157" s="2037"/>
      <c r="D157" s="2037"/>
      <c r="E157" s="2037"/>
      <c r="F157" s="2037"/>
      <c r="G157" s="2037"/>
      <c r="H157" s="2037"/>
      <c r="I157" s="2074" t="s">
        <v>2346</v>
      </c>
      <c r="J157" s="2074"/>
      <c r="K157" s="2074"/>
      <c r="L157" s="2074"/>
      <c r="M157" s="2074"/>
      <c r="N157" s="2074"/>
      <c r="O157" s="2074"/>
      <c r="P157" s="2074" t="s">
        <v>2347</v>
      </c>
      <c r="Q157" s="2074"/>
      <c r="R157" s="2074"/>
      <c r="S157" s="2074"/>
      <c r="T157" s="2074"/>
      <c r="U157" s="2075"/>
      <c r="V157" s="1190"/>
      <c r="W157" s="1190"/>
      <c r="X157" s="2036"/>
      <c r="Y157" s="2037"/>
      <c r="Z157" s="2037"/>
      <c r="AA157" s="2037"/>
      <c r="AB157" s="2037"/>
      <c r="AC157" s="2037"/>
      <c r="AD157" s="2037"/>
      <c r="AE157" s="2074" t="s">
        <v>2346</v>
      </c>
      <c r="AF157" s="2074"/>
      <c r="AG157" s="2074"/>
      <c r="AH157" s="2074"/>
      <c r="AI157" s="2074"/>
      <c r="AJ157" s="2074"/>
      <c r="AK157" s="2074"/>
      <c r="AL157" s="2074" t="s">
        <v>2345</v>
      </c>
      <c r="AM157" s="2074"/>
      <c r="AN157" s="2074"/>
      <c r="AO157" s="2074"/>
      <c r="AP157" s="2074"/>
      <c r="AQ157" s="2075"/>
      <c r="AR157" s="1190"/>
      <c r="AS157" s="1190"/>
      <c r="AT157" s="1190"/>
      <c r="AU157" s="1190"/>
      <c r="AV157" s="1190"/>
      <c r="AW157" s="1190"/>
      <c r="AX157" s="1190"/>
      <c r="AY157" s="1190"/>
      <c r="AZ157" s="1190"/>
      <c r="BA157" s="1190"/>
      <c r="BB157" s="1190"/>
      <c r="BC157" s="1190"/>
      <c r="BD157" s="1190"/>
      <c r="BE157" s="1194"/>
    </row>
    <row r="158" spans="1:57" ht="15.75" customHeight="1">
      <c r="A158" s="1190"/>
      <c r="B158" s="2036"/>
      <c r="C158" s="2037"/>
      <c r="D158" s="2037"/>
      <c r="E158" s="2037"/>
      <c r="F158" s="2037"/>
      <c r="G158" s="2037"/>
      <c r="H158" s="2037"/>
      <c r="I158" s="2074"/>
      <c r="J158" s="2074"/>
      <c r="K158" s="2074"/>
      <c r="L158" s="2074"/>
      <c r="M158" s="2074"/>
      <c r="N158" s="2074"/>
      <c r="O158" s="2074"/>
      <c r="P158" s="2074"/>
      <c r="Q158" s="2074"/>
      <c r="R158" s="2074"/>
      <c r="S158" s="2074"/>
      <c r="T158" s="2074"/>
      <c r="U158" s="2075"/>
      <c r="V158" s="1190"/>
      <c r="W158" s="1190"/>
      <c r="X158" s="2036"/>
      <c r="Y158" s="2037"/>
      <c r="Z158" s="2037"/>
      <c r="AA158" s="2037"/>
      <c r="AB158" s="2037"/>
      <c r="AC158" s="2037"/>
      <c r="AD158" s="2037"/>
      <c r="AE158" s="2074"/>
      <c r="AF158" s="2074"/>
      <c r="AG158" s="2074"/>
      <c r="AH158" s="2074"/>
      <c r="AI158" s="2074"/>
      <c r="AJ158" s="2074"/>
      <c r="AK158" s="2074"/>
      <c r="AL158" s="2074"/>
      <c r="AM158" s="2074"/>
      <c r="AN158" s="2074"/>
      <c r="AO158" s="2074"/>
      <c r="AP158" s="2074"/>
      <c r="AQ158" s="2075"/>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070" t="s">
        <v>2344</v>
      </c>
      <c r="C159" s="2071"/>
      <c r="D159" s="2071"/>
      <c r="E159" s="2071"/>
      <c r="F159" s="2071"/>
      <c r="G159" s="2071"/>
      <c r="H159" s="2071"/>
      <c r="I159" s="2072">
        <v>0</v>
      </c>
      <c r="J159" s="2072"/>
      <c r="K159" s="2072"/>
      <c r="L159" s="2072"/>
      <c r="M159" s="2072"/>
      <c r="N159" s="2072"/>
      <c r="O159" s="2072"/>
      <c r="P159" s="2072">
        <v>0</v>
      </c>
      <c r="Q159" s="2072"/>
      <c r="R159" s="2072"/>
      <c r="S159" s="2072"/>
      <c r="T159" s="2072"/>
      <c r="U159" s="2073"/>
      <c r="V159" s="1190"/>
      <c r="W159" s="1190"/>
      <c r="X159" s="2064" t="s">
        <v>2344</v>
      </c>
      <c r="Y159" s="2065"/>
      <c r="Z159" s="2065"/>
      <c r="AA159" s="2065"/>
      <c r="AB159" s="2065"/>
      <c r="AC159" s="2065"/>
      <c r="AD159" s="2065"/>
      <c r="AE159" s="2066">
        <v>0</v>
      </c>
      <c r="AF159" s="2066"/>
      <c r="AG159" s="2066"/>
      <c r="AH159" s="2066"/>
      <c r="AI159" s="2066"/>
      <c r="AJ159" s="2066"/>
      <c r="AK159" s="2066"/>
      <c r="AL159" s="2066">
        <v>0</v>
      </c>
      <c r="AM159" s="2066"/>
      <c r="AN159" s="2066"/>
      <c r="AO159" s="2066"/>
      <c r="AP159" s="2066"/>
      <c r="AQ159" s="2067"/>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064" t="s">
        <v>2343</v>
      </c>
      <c r="C160" s="2065"/>
      <c r="D160" s="2065"/>
      <c r="E160" s="2065"/>
      <c r="F160" s="2065"/>
      <c r="G160" s="2065"/>
      <c r="H160" s="2065"/>
      <c r="I160" s="2066">
        <v>0</v>
      </c>
      <c r="J160" s="2066"/>
      <c r="K160" s="2066"/>
      <c r="L160" s="2066"/>
      <c r="M160" s="2066"/>
      <c r="N160" s="2066"/>
      <c r="O160" s="2066"/>
      <c r="P160" s="2066">
        <v>0</v>
      </c>
      <c r="Q160" s="2066"/>
      <c r="R160" s="2066"/>
      <c r="S160" s="2066"/>
      <c r="T160" s="2066"/>
      <c r="U160" s="2067"/>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68" t="s">
        <v>2342</v>
      </c>
      <c r="D162" s="2024"/>
      <c r="E162" s="2024"/>
      <c r="F162" s="2024"/>
      <c r="G162" s="2024"/>
      <c r="H162" s="2024"/>
      <c r="I162" s="2024"/>
      <c r="J162" s="2024"/>
      <c r="K162" s="2024"/>
      <c r="L162" s="2024"/>
      <c r="M162" s="2024"/>
      <c r="N162" s="2024"/>
      <c r="O162" s="2024"/>
      <c r="P162" s="2024"/>
      <c r="Q162" s="2024"/>
      <c r="R162" s="2024"/>
      <c r="S162" s="2024"/>
      <c r="T162" s="2024"/>
      <c r="U162" s="2024"/>
      <c r="V162" s="2024"/>
      <c r="W162" s="2024"/>
      <c r="X162" s="2024"/>
      <c r="Y162" s="2024"/>
      <c r="Z162" s="2024"/>
      <c r="AA162" s="2024"/>
      <c r="AB162" s="2024"/>
      <c r="AC162" s="2024"/>
      <c r="AD162" s="2024"/>
      <c r="AE162" s="2024"/>
      <c r="AF162" s="2024"/>
      <c r="AG162" s="2025"/>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036" t="s">
        <v>2327</v>
      </c>
      <c r="D163" s="2037"/>
      <c r="E163" s="2037"/>
      <c r="F163" s="2037"/>
      <c r="G163" s="2037"/>
      <c r="H163" s="2037"/>
      <c r="I163" s="2037"/>
      <c r="J163" s="2037"/>
      <c r="K163" s="2037"/>
      <c r="L163" s="2037"/>
      <c r="M163" s="2037"/>
      <c r="N163" s="2037"/>
      <c r="O163" s="2037"/>
      <c r="P163" s="2037"/>
      <c r="Q163" s="2037" t="s">
        <v>2341</v>
      </c>
      <c r="R163" s="2037"/>
      <c r="S163" s="2037"/>
      <c r="T163" s="2069" t="s">
        <v>2340</v>
      </c>
      <c r="U163" s="2069"/>
      <c r="V163" s="2069"/>
      <c r="W163" s="2069"/>
      <c r="X163" s="2069"/>
      <c r="Y163" s="2069"/>
      <c r="Z163" s="2069"/>
      <c r="AA163" s="2069"/>
      <c r="AB163" s="2037" t="s">
        <v>2339</v>
      </c>
      <c r="AC163" s="2037"/>
      <c r="AD163" s="2037"/>
      <c r="AE163" s="2037"/>
      <c r="AF163" s="2037"/>
      <c r="AG163" s="2038"/>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051" t="s">
        <v>2338</v>
      </c>
      <c r="D164" s="2052"/>
      <c r="E164" s="2052"/>
      <c r="F164" s="2052"/>
      <c r="G164" s="2052"/>
      <c r="H164" s="2052"/>
      <c r="I164" s="2052"/>
      <c r="J164" s="2052"/>
      <c r="K164" s="2052"/>
      <c r="L164" s="2052"/>
      <c r="M164" s="2052"/>
      <c r="N164" s="2052"/>
      <c r="O164" s="2052"/>
      <c r="P164" s="2052"/>
      <c r="Q164" s="1994">
        <v>55</v>
      </c>
      <c r="R164" s="1994"/>
      <c r="S164" s="1994"/>
      <c r="T164" s="2045"/>
      <c r="U164" s="2045"/>
      <c r="V164" s="2045"/>
      <c r="W164" s="2045"/>
      <c r="X164" s="2045"/>
      <c r="Y164" s="2045"/>
      <c r="Z164" s="2045"/>
      <c r="AA164" s="2045"/>
      <c r="AB164" s="1226"/>
      <c r="AC164" s="1226"/>
      <c r="AD164" s="1226"/>
      <c r="AE164" s="1226"/>
      <c r="AF164" s="1226"/>
      <c r="AG164" s="1227"/>
      <c r="AH164" s="1190"/>
      <c r="AI164" s="1190"/>
      <c r="AJ164" s="1190"/>
      <c r="AK164" s="1190"/>
      <c r="AL164" s="1190"/>
      <c r="AM164" s="1190"/>
      <c r="AN164" s="1190"/>
      <c r="AO164" s="1190"/>
      <c r="AP164" s="1190" t="s">
        <v>249</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051" t="s">
        <v>2337</v>
      </c>
      <c r="D165" s="2052"/>
      <c r="E165" s="2052"/>
      <c r="F165" s="2052"/>
      <c r="G165" s="2052"/>
      <c r="H165" s="2052"/>
      <c r="I165" s="2052"/>
      <c r="J165" s="2052"/>
      <c r="K165" s="2052"/>
      <c r="L165" s="2052"/>
      <c r="M165" s="2052"/>
      <c r="N165" s="2052"/>
      <c r="O165" s="2052"/>
      <c r="P165" s="2052"/>
      <c r="Q165" s="1994">
        <v>55</v>
      </c>
      <c r="R165" s="1994"/>
      <c r="S165" s="1994"/>
      <c r="T165" s="2054"/>
      <c r="U165" s="2054"/>
      <c r="V165" s="2054"/>
      <c r="W165" s="2054"/>
      <c r="X165" s="2054"/>
      <c r="Y165" s="2054"/>
      <c r="Z165" s="2054"/>
      <c r="AA165" s="2054"/>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051" t="s">
        <v>2336</v>
      </c>
      <c r="D166" s="2052"/>
      <c r="E166" s="2052"/>
      <c r="F166" s="2052"/>
      <c r="G166" s="2052"/>
      <c r="H166" s="2052"/>
      <c r="I166" s="2052"/>
      <c r="J166" s="2052"/>
      <c r="K166" s="2052"/>
      <c r="L166" s="2052"/>
      <c r="M166" s="2052"/>
      <c r="N166" s="2052"/>
      <c r="O166" s="2052"/>
      <c r="P166" s="2052"/>
      <c r="Q166" s="1994">
        <v>55</v>
      </c>
      <c r="R166" s="1994"/>
      <c r="S166" s="1994"/>
      <c r="T166" s="2045"/>
      <c r="U166" s="2045"/>
      <c r="V166" s="2045"/>
      <c r="W166" s="2045"/>
      <c r="X166" s="2045"/>
      <c r="Y166" s="2045"/>
      <c r="Z166" s="2045"/>
      <c r="AA166" s="2045"/>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051" t="s">
        <v>2335</v>
      </c>
      <c r="D167" s="2052"/>
      <c r="E167" s="2052"/>
      <c r="F167" s="2052"/>
      <c r="G167" s="2052"/>
      <c r="H167" s="2052"/>
      <c r="I167" s="2052"/>
      <c r="J167" s="2052"/>
      <c r="K167" s="2052"/>
      <c r="L167" s="2052"/>
      <c r="M167" s="2052"/>
      <c r="N167" s="2052"/>
      <c r="O167" s="2052"/>
      <c r="P167" s="2052"/>
      <c r="Q167" s="1994">
        <v>55</v>
      </c>
      <c r="R167" s="1994"/>
      <c r="S167" s="1994"/>
      <c r="T167" s="2045"/>
      <c r="U167" s="2045"/>
      <c r="V167" s="2045"/>
      <c r="W167" s="2045"/>
      <c r="X167" s="2045"/>
      <c r="Y167" s="2045"/>
      <c r="Z167" s="2045"/>
      <c r="AA167" s="2045"/>
      <c r="AB167" s="2055">
        <v>0</v>
      </c>
      <c r="AC167" s="2055"/>
      <c r="AD167" s="2055"/>
      <c r="AE167" s="2055"/>
      <c r="AF167" s="2055"/>
      <c r="AG167" s="2056"/>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051" t="s">
        <v>169</v>
      </c>
      <c r="D168" s="2052"/>
      <c r="E168" s="2052"/>
      <c r="F168" s="2053" t="s">
        <v>2316</v>
      </c>
      <c r="G168" s="2053"/>
      <c r="H168" s="2053"/>
      <c r="I168" s="2053"/>
      <c r="J168" s="2053"/>
      <c r="K168" s="2053"/>
      <c r="L168" s="2053"/>
      <c r="M168" s="2053"/>
      <c r="N168" s="2053"/>
      <c r="O168" s="2053"/>
      <c r="P168" s="2053"/>
      <c r="Q168" s="1994">
        <v>55</v>
      </c>
      <c r="R168" s="1994"/>
      <c r="S168" s="1994"/>
      <c r="T168" s="2054"/>
      <c r="U168" s="2054"/>
      <c r="V168" s="2054"/>
      <c r="W168" s="2054"/>
      <c r="X168" s="2054"/>
      <c r="Y168" s="2054"/>
      <c r="Z168" s="2054"/>
      <c r="AA168" s="2054"/>
      <c r="AB168" s="2055">
        <v>0</v>
      </c>
      <c r="AC168" s="2055"/>
      <c r="AD168" s="2055"/>
      <c r="AE168" s="2055"/>
      <c r="AF168" s="2055"/>
      <c r="AG168" s="2056"/>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051" t="s">
        <v>169</v>
      </c>
      <c r="D169" s="2052"/>
      <c r="E169" s="2052"/>
      <c r="F169" s="2053" t="s">
        <v>2316</v>
      </c>
      <c r="G169" s="2053"/>
      <c r="H169" s="2053"/>
      <c r="I169" s="2053"/>
      <c r="J169" s="2053"/>
      <c r="K169" s="2053"/>
      <c r="L169" s="2053"/>
      <c r="M169" s="2053"/>
      <c r="N169" s="2053"/>
      <c r="O169" s="2053"/>
      <c r="P169" s="2053"/>
      <c r="Q169" s="1994">
        <v>55</v>
      </c>
      <c r="R169" s="1994"/>
      <c r="S169" s="1994"/>
      <c r="T169" s="2054"/>
      <c r="U169" s="2054"/>
      <c r="V169" s="2054"/>
      <c r="W169" s="2054"/>
      <c r="X169" s="2054"/>
      <c r="Y169" s="2054"/>
      <c r="Z169" s="2054"/>
      <c r="AA169" s="2054"/>
      <c r="AB169" s="2055">
        <v>0</v>
      </c>
      <c r="AC169" s="2055"/>
      <c r="AD169" s="2055"/>
      <c r="AE169" s="2055"/>
      <c r="AF169" s="2055"/>
      <c r="AG169" s="2056"/>
      <c r="AH169" s="1190"/>
      <c r="AI169" s="1190"/>
      <c r="AJ169" s="1190"/>
      <c r="AK169" s="1190" t="s">
        <v>249</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057" t="s">
        <v>169</v>
      </c>
      <c r="D170" s="2058"/>
      <c r="E170" s="2058"/>
      <c r="F170" s="2059" t="s">
        <v>2316</v>
      </c>
      <c r="G170" s="2059"/>
      <c r="H170" s="2059"/>
      <c r="I170" s="2059"/>
      <c r="J170" s="2059"/>
      <c r="K170" s="2059"/>
      <c r="L170" s="2059"/>
      <c r="M170" s="2059"/>
      <c r="N170" s="2059"/>
      <c r="O170" s="2059"/>
      <c r="P170" s="2059"/>
      <c r="Q170" s="2060">
        <v>55</v>
      </c>
      <c r="R170" s="2060"/>
      <c r="S170" s="2060"/>
      <c r="T170" s="2061"/>
      <c r="U170" s="2061"/>
      <c r="V170" s="2061"/>
      <c r="W170" s="2061"/>
      <c r="X170" s="2061"/>
      <c r="Y170" s="2061"/>
      <c r="Z170" s="2061"/>
      <c r="AA170" s="2061"/>
      <c r="AB170" s="2062">
        <v>0</v>
      </c>
      <c r="AC170" s="2062"/>
      <c r="AD170" s="2062"/>
      <c r="AE170" s="2062"/>
      <c r="AF170" s="2062"/>
      <c r="AG170" s="2063"/>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22" t="s">
        <v>2334</v>
      </c>
      <c r="D172" s="2023"/>
      <c r="E172" s="2023"/>
      <c r="F172" s="2023"/>
      <c r="G172" s="2023"/>
      <c r="H172" s="2023"/>
      <c r="I172" s="2023"/>
      <c r="J172" s="2023"/>
      <c r="K172" s="2023"/>
      <c r="L172" s="2023"/>
      <c r="M172" s="2023"/>
      <c r="N172" s="2032"/>
      <c r="O172" s="1190"/>
      <c r="P172" s="2033" t="s">
        <v>2333</v>
      </c>
      <c r="Q172" s="2034"/>
      <c r="R172" s="2034"/>
      <c r="S172" s="2034"/>
      <c r="T172" s="2034"/>
      <c r="U172" s="2034"/>
      <c r="V172" s="2034"/>
      <c r="W172" s="2034"/>
      <c r="X172" s="2034"/>
      <c r="Y172" s="2034"/>
      <c r="Z172" s="2034"/>
      <c r="AA172" s="2034"/>
      <c r="AB172" s="2034"/>
      <c r="AC172" s="2034"/>
      <c r="AD172" s="2034"/>
      <c r="AE172" s="2034"/>
      <c r="AF172" s="2034"/>
      <c r="AG172" s="2034"/>
      <c r="AH172" s="2034"/>
      <c r="AI172" s="2034"/>
      <c r="AJ172" s="2034"/>
      <c r="AK172" s="2034"/>
      <c r="AL172" s="2034"/>
      <c r="AM172" s="2034"/>
      <c r="AN172" s="2034"/>
      <c r="AO172" s="2035"/>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036" t="s">
        <v>2332</v>
      </c>
      <c r="D173" s="2037"/>
      <c r="E173" s="2037"/>
      <c r="F173" s="2037"/>
      <c r="G173" s="2037"/>
      <c r="H173" s="2037"/>
      <c r="I173" s="2037" t="s">
        <v>2331</v>
      </c>
      <c r="J173" s="2037"/>
      <c r="K173" s="2037"/>
      <c r="L173" s="2037"/>
      <c r="M173" s="2037"/>
      <c r="N173" s="2038"/>
      <c r="O173" s="1190"/>
      <c r="P173" s="2039" t="s">
        <v>2330</v>
      </c>
      <c r="Q173" s="2040"/>
      <c r="R173" s="2040"/>
      <c r="S173" s="2040"/>
      <c r="T173" s="2040"/>
      <c r="U173" s="2040"/>
      <c r="V173" s="2040"/>
      <c r="W173" s="2040"/>
      <c r="X173" s="2040"/>
      <c r="Y173" s="2040"/>
      <c r="Z173" s="2040"/>
      <c r="AA173" s="2040"/>
      <c r="AB173" s="2040"/>
      <c r="AC173" s="2040"/>
      <c r="AD173" s="2040"/>
      <c r="AE173" s="2040"/>
      <c r="AF173" s="2040"/>
      <c r="AG173" s="2040"/>
      <c r="AH173" s="2040"/>
      <c r="AI173" s="2040"/>
      <c r="AJ173" s="2040"/>
      <c r="AK173" s="2040"/>
      <c r="AL173" s="2040"/>
      <c r="AM173" s="2040"/>
      <c r="AN173" s="2040"/>
      <c r="AO173" s="2041"/>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1984"/>
      <c r="D174" s="1985"/>
      <c r="E174" s="1985"/>
      <c r="F174" s="1985"/>
      <c r="G174" s="1985"/>
      <c r="H174" s="1985"/>
      <c r="I174" s="2045"/>
      <c r="J174" s="2045"/>
      <c r="K174" s="2045"/>
      <c r="L174" s="2045"/>
      <c r="M174" s="2045"/>
      <c r="N174" s="2046"/>
      <c r="O174" s="1190"/>
      <c r="P174" s="2039"/>
      <c r="Q174" s="2040"/>
      <c r="R174" s="2040"/>
      <c r="S174" s="2040"/>
      <c r="T174" s="2040"/>
      <c r="U174" s="2040"/>
      <c r="V174" s="2040"/>
      <c r="W174" s="2040"/>
      <c r="X174" s="2040"/>
      <c r="Y174" s="2040"/>
      <c r="Z174" s="2040"/>
      <c r="AA174" s="2040"/>
      <c r="AB174" s="2040"/>
      <c r="AC174" s="2040"/>
      <c r="AD174" s="2040"/>
      <c r="AE174" s="2040"/>
      <c r="AF174" s="2040"/>
      <c r="AG174" s="2040"/>
      <c r="AH174" s="2040"/>
      <c r="AI174" s="2040"/>
      <c r="AJ174" s="2040"/>
      <c r="AK174" s="2040"/>
      <c r="AL174" s="2040"/>
      <c r="AM174" s="2040"/>
      <c r="AN174" s="2040"/>
      <c r="AO174" s="2041"/>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1984"/>
      <c r="D175" s="1985"/>
      <c r="E175" s="1985"/>
      <c r="F175" s="1985"/>
      <c r="G175" s="1985"/>
      <c r="H175" s="1985"/>
      <c r="I175" s="2045"/>
      <c r="J175" s="2045"/>
      <c r="K175" s="2045"/>
      <c r="L175" s="2045"/>
      <c r="M175" s="2045"/>
      <c r="N175" s="2046"/>
      <c r="O175" s="1190"/>
      <c r="P175" s="2039"/>
      <c r="Q175" s="2040"/>
      <c r="R175" s="2040"/>
      <c r="S175" s="2040"/>
      <c r="T175" s="2040"/>
      <c r="U175" s="2040"/>
      <c r="V175" s="2040"/>
      <c r="W175" s="2040"/>
      <c r="X175" s="2040"/>
      <c r="Y175" s="2040"/>
      <c r="Z175" s="2040"/>
      <c r="AA175" s="2040"/>
      <c r="AB175" s="2040"/>
      <c r="AC175" s="2040"/>
      <c r="AD175" s="2040"/>
      <c r="AE175" s="2040"/>
      <c r="AF175" s="2040"/>
      <c r="AG175" s="2040"/>
      <c r="AH175" s="2040"/>
      <c r="AI175" s="2040"/>
      <c r="AJ175" s="2040"/>
      <c r="AK175" s="2040"/>
      <c r="AL175" s="2040"/>
      <c r="AM175" s="2040"/>
      <c r="AN175" s="2040"/>
      <c r="AO175" s="2041"/>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1984"/>
      <c r="D176" s="1985"/>
      <c r="E176" s="1985"/>
      <c r="F176" s="1985"/>
      <c r="G176" s="1985"/>
      <c r="H176" s="1985"/>
      <c r="I176" s="2045"/>
      <c r="J176" s="2045"/>
      <c r="K176" s="2045"/>
      <c r="L176" s="2045"/>
      <c r="M176" s="2045"/>
      <c r="N176" s="2046"/>
      <c r="O176" s="1190"/>
      <c r="P176" s="2039"/>
      <c r="Q176" s="2040"/>
      <c r="R176" s="2040"/>
      <c r="S176" s="2040"/>
      <c r="T176" s="2040"/>
      <c r="U176" s="2040"/>
      <c r="V176" s="2040"/>
      <c r="W176" s="2040"/>
      <c r="X176" s="2040"/>
      <c r="Y176" s="2040"/>
      <c r="Z176" s="2040"/>
      <c r="AA176" s="2040"/>
      <c r="AB176" s="2040"/>
      <c r="AC176" s="2040"/>
      <c r="AD176" s="2040"/>
      <c r="AE176" s="2040"/>
      <c r="AF176" s="2040"/>
      <c r="AG176" s="2040"/>
      <c r="AH176" s="2040"/>
      <c r="AI176" s="2040"/>
      <c r="AJ176" s="2040"/>
      <c r="AK176" s="2040"/>
      <c r="AL176" s="2040"/>
      <c r="AM176" s="2040"/>
      <c r="AN176" s="2040"/>
      <c r="AO176" s="2041"/>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1984"/>
      <c r="D177" s="1985"/>
      <c r="E177" s="1985"/>
      <c r="F177" s="1985"/>
      <c r="G177" s="1985"/>
      <c r="H177" s="1985"/>
      <c r="I177" s="2045"/>
      <c r="J177" s="2045"/>
      <c r="K177" s="2045"/>
      <c r="L177" s="2045"/>
      <c r="M177" s="2045"/>
      <c r="N177" s="2046"/>
      <c r="O177" s="1190"/>
      <c r="P177" s="2039"/>
      <c r="Q177" s="2040"/>
      <c r="R177" s="2040"/>
      <c r="S177" s="2040"/>
      <c r="T177" s="2040"/>
      <c r="U177" s="2040"/>
      <c r="V177" s="2040"/>
      <c r="W177" s="2040"/>
      <c r="X177" s="2040"/>
      <c r="Y177" s="2040"/>
      <c r="Z177" s="2040"/>
      <c r="AA177" s="2040"/>
      <c r="AB177" s="2040"/>
      <c r="AC177" s="2040"/>
      <c r="AD177" s="2040"/>
      <c r="AE177" s="2040"/>
      <c r="AF177" s="2040"/>
      <c r="AG177" s="2040"/>
      <c r="AH177" s="2040"/>
      <c r="AI177" s="2040"/>
      <c r="AJ177" s="2040"/>
      <c r="AK177" s="2040"/>
      <c r="AL177" s="2040"/>
      <c r="AM177" s="2040"/>
      <c r="AN177" s="2040"/>
      <c r="AO177" s="2041"/>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1984"/>
      <c r="D178" s="1985"/>
      <c r="E178" s="1985"/>
      <c r="F178" s="1985"/>
      <c r="G178" s="1985"/>
      <c r="H178" s="1985"/>
      <c r="I178" s="2045"/>
      <c r="J178" s="2045"/>
      <c r="K178" s="2045"/>
      <c r="L178" s="2045"/>
      <c r="M178" s="2045"/>
      <c r="N178" s="2046"/>
      <c r="O178" s="1190"/>
      <c r="P178" s="2039"/>
      <c r="Q178" s="2040"/>
      <c r="R178" s="2040"/>
      <c r="S178" s="2040"/>
      <c r="T178" s="2040"/>
      <c r="U178" s="2040"/>
      <c r="V178" s="2040"/>
      <c r="W178" s="2040"/>
      <c r="X178" s="2040"/>
      <c r="Y178" s="2040"/>
      <c r="Z178" s="2040"/>
      <c r="AA178" s="2040"/>
      <c r="AB178" s="2040"/>
      <c r="AC178" s="2040"/>
      <c r="AD178" s="2040"/>
      <c r="AE178" s="2040"/>
      <c r="AF178" s="2040"/>
      <c r="AG178" s="2040"/>
      <c r="AH178" s="2040"/>
      <c r="AI178" s="2040"/>
      <c r="AJ178" s="2040"/>
      <c r="AK178" s="2040"/>
      <c r="AL178" s="2040"/>
      <c r="AM178" s="2040"/>
      <c r="AN178" s="2040"/>
      <c r="AO178" s="2041"/>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1984"/>
      <c r="D179" s="1985"/>
      <c r="E179" s="1985"/>
      <c r="F179" s="1985"/>
      <c r="G179" s="1985"/>
      <c r="H179" s="1985"/>
      <c r="I179" s="2045"/>
      <c r="J179" s="2045"/>
      <c r="K179" s="2045"/>
      <c r="L179" s="2045"/>
      <c r="M179" s="2045"/>
      <c r="N179" s="2046"/>
      <c r="O179" s="1190"/>
      <c r="P179" s="2039"/>
      <c r="Q179" s="2040"/>
      <c r="R179" s="2040"/>
      <c r="S179" s="2040"/>
      <c r="T179" s="2040"/>
      <c r="U179" s="2040"/>
      <c r="V179" s="2040"/>
      <c r="W179" s="2040"/>
      <c r="X179" s="2040"/>
      <c r="Y179" s="2040"/>
      <c r="Z179" s="2040"/>
      <c r="AA179" s="2040"/>
      <c r="AB179" s="2040"/>
      <c r="AC179" s="2040"/>
      <c r="AD179" s="2040"/>
      <c r="AE179" s="2040"/>
      <c r="AF179" s="2040"/>
      <c r="AG179" s="2040"/>
      <c r="AH179" s="2040"/>
      <c r="AI179" s="2040"/>
      <c r="AJ179" s="2040"/>
      <c r="AK179" s="2040"/>
      <c r="AL179" s="2040"/>
      <c r="AM179" s="2040"/>
      <c r="AN179" s="2040"/>
      <c r="AO179" s="2041"/>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047"/>
      <c r="D180" s="2048"/>
      <c r="E180" s="2048"/>
      <c r="F180" s="2048"/>
      <c r="G180" s="2048"/>
      <c r="H180" s="2048"/>
      <c r="I180" s="2049"/>
      <c r="J180" s="2049"/>
      <c r="K180" s="2049"/>
      <c r="L180" s="2049"/>
      <c r="M180" s="2049"/>
      <c r="N180" s="2050"/>
      <c r="O180" s="1190"/>
      <c r="P180" s="2042"/>
      <c r="Q180" s="2043"/>
      <c r="R180" s="2043"/>
      <c r="S180" s="2043"/>
      <c r="T180" s="2043"/>
      <c r="U180" s="2043"/>
      <c r="V180" s="2043"/>
      <c r="W180" s="2043"/>
      <c r="X180" s="2043"/>
      <c r="Y180" s="2043"/>
      <c r="Z180" s="2043"/>
      <c r="AA180" s="2043"/>
      <c r="AB180" s="2043"/>
      <c r="AC180" s="2043"/>
      <c r="AD180" s="2043"/>
      <c r="AE180" s="2043"/>
      <c r="AF180" s="2043"/>
      <c r="AG180" s="2043"/>
      <c r="AH180" s="2043"/>
      <c r="AI180" s="2043"/>
      <c r="AJ180" s="2043"/>
      <c r="AK180" s="2043"/>
      <c r="AL180" s="2043"/>
      <c r="AM180" s="2043"/>
      <c r="AN180" s="2043"/>
      <c r="AO180" s="2044"/>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013" t="s">
        <v>2329</v>
      </c>
      <c r="D182" s="2014"/>
      <c r="E182" s="2014"/>
      <c r="F182" s="2014"/>
      <c r="G182" s="2014"/>
      <c r="H182" s="2014"/>
      <c r="I182" s="2014"/>
      <c r="J182" s="2014"/>
      <c r="K182" s="2014"/>
      <c r="L182" s="2014"/>
      <c r="M182" s="2014"/>
      <c r="N182" s="2014"/>
      <c r="O182" s="2014"/>
      <c r="P182" s="2014"/>
      <c r="Q182" s="2014"/>
      <c r="R182" s="2014"/>
      <c r="S182" s="2014"/>
      <c r="T182" s="2014"/>
      <c r="U182" s="2014"/>
      <c r="V182" s="2014"/>
      <c r="W182" s="2014"/>
      <c r="X182" s="2014"/>
      <c r="Y182" s="2014"/>
      <c r="Z182" s="2014"/>
      <c r="AA182" s="2014"/>
      <c r="AB182" s="2014"/>
      <c r="AC182" s="2014"/>
      <c r="AD182" s="2014"/>
      <c r="AE182" s="2015"/>
      <c r="AF182" s="1190"/>
      <c r="AG182" s="1190"/>
      <c r="AH182" s="1898"/>
      <c r="AI182" s="1898"/>
      <c r="AJ182" s="1898"/>
      <c r="AK182" s="1898"/>
      <c r="AL182" s="1898"/>
      <c r="AM182" s="1898"/>
      <c r="AN182" s="1898"/>
      <c r="AO182" s="1898"/>
      <c r="AP182" s="1898"/>
      <c r="AQ182" s="1898"/>
      <c r="AR182" s="1898"/>
      <c r="AS182" s="1898"/>
      <c r="AT182" s="1898"/>
      <c r="AU182" s="1898"/>
      <c r="AV182" s="1898"/>
      <c r="AW182" s="1898"/>
      <c r="AX182" s="1898"/>
      <c r="AY182" s="1898"/>
      <c r="AZ182" s="1898"/>
      <c r="BA182" s="1898"/>
      <c r="BB182" s="1898"/>
      <c r="BC182" s="1898"/>
      <c r="BD182" s="1898"/>
      <c r="BE182" s="1898"/>
    </row>
    <row r="183" spans="1:57" ht="15.75" customHeight="1" thickBot="1">
      <c r="A183" s="1190"/>
      <c r="B183" s="1190"/>
      <c r="C183" s="2016"/>
      <c r="D183" s="2017"/>
      <c r="E183" s="2017"/>
      <c r="F183" s="2017"/>
      <c r="G183" s="2017"/>
      <c r="H183" s="2017"/>
      <c r="I183" s="2017"/>
      <c r="J183" s="2017"/>
      <c r="K183" s="2017"/>
      <c r="L183" s="2017"/>
      <c r="M183" s="2017"/>
      <c r="N183" s="2017"/>
      <c r="O183" s="2017"/>
      <c r="P183" s="2017"/>
      <c r="Q183" s="2017"/>
      <c r="R183" s="2017"/>
      <c r="S183" s="2017"/>
      <c r="T183" s="2017"/>
      <c r="U183" s="2017"/>
      <c r="V183" s="2017"/>
      <c r="W183" s="2017"/>
      <c r="X183" s="2017"/>
      <c r="Y183" s="2017"/>
      <c r="Z183" s="2017"/>
      <c r="AA183" s="2017"/>
      <c r="AB183" s="2017"/>
      <c r="AC183" s="2017"/>
      <c r="AD183" s="2017"/>
      <c r="AE183" s="2018"/>
      <c r="AF183" s="1190"/>
      <c r="AG183" s="1190"/>
      <c r="AH183" s="1898"/>
      <c r="AI183" s="1898"/>
      <c r="AJ183" s="1898"/>
      <c r="AK183" s="1898"/>
      <c r="AL183" s="1898"/>
      <c r="AM183" s="1898"/>
      <c r="AN183" s="1898"/>
      <c r="AO183" s="1898"/>
      <c r="AP183" s="1898"/>
      <c r="AQ183" s="1898"/>
      <c r="AR183" s="1898"/>
      <c r="AS183" s="1898"/>
      <c r="AT183" s="1898"/>
      <c r="AU183" s="1898"/>
      <c r="AV183" s="1898"/>
      <c r="AW183" s="1898"/>
      <c r="AX183" s="1898"/>
      <c r="AY183" s="1898"/>
      <c r="AZ183" s="1898"/>
      <c r="BA183" s="1898"/>
      <c r="BB183" s="1898"/>
      <c r="BC183" s="1898"/>
      <c r="BD183" s="1898"/>
      <c r="BE183" s="1898"/>
    </row>
    <row r="184" spans="1:57" ht="15.75" customHeight="1">
      <c r="A184" s="1190"/>
      <c r="B184" s="1190"/>
      <c r="C184" s="2022" t="s">
        <v>2327</v>
      </c>
      <c r="D184" s="2023"/>
      <c r="E184" s="2023"/>
      <c r="F184" s="2023"/>
      <c r="G184" s="2023"/>
      <c r="H184" s="2023"/>
      <c r="I184" s="2023"/>
      <c r="J184" s="2023"/>
      <c r="K184" s="2023"/>
      <c r="L184" s="2023"/>
      <c r="M184" s="2023"/>
      <c r="N184" s="2023" t="s">
        <v>2328</v>
      </c>
      <c r="O184" s="2023"/>
      <c r="P184" s="2023"/>
      <c r="Q184" s="2023"/>
      <c r="R184" s="2023"/>
      <c r="S184" s="2023"/>
      <c r="T184" s="2023"/>
      <c r="U184" s="2024" t="s">
        <v>2327</v>
      </c>
      <c r="V184" s="2024"/>
      <c r="W184" s="2024"/>
      <c r="X184" s="2024"/>
      <c r="Y184" s="2024"/>
      <c r="Z184" s="2024"/>
      <c r="AA184" s="2024"/>
      <c r="AB184" s="2024"/>
      <c r="AC184" s="2024"/>
      <c r="AD184" s="2024"/>
      <c r="AE184" s="2025"/>
      <c r="AF184" s="1190"/>
      <c r="AG184" s="1190"/>
      <c r="AH184" s="1898"/>
      <c r="AI184" s="1898"/>
      <c r="AJ184" s="1898"/>
      <c r="AK184" s="1898"/>
      <c r="AL184" s="1898"/>
      <c r="AM184" s="1898"/>
      <c r="AN184" s="1898"/>
      <c r="AO184" s="1898"/>
      <c r="AP184" s="1898"/>
      <c r="AQ184" s="1898"/>
      <c r="AR184" s="1898"/>
      <c r="AS184" s="1898"/>
      <c r="AT184" s="1898"/>
      <c r="AU184" s="1898"/>
      <c r="AV184" s="1898"/>
      <c r="AW184" s="1898"/>
      <c r="AX184" s="1898"/>
      <c r="AY184" s="1898"/>
      <c r="AZ184" s="1898"/>
      <c r="BA184" s="1898"/>
      <c r="BB184" s="1898"/>
      <c r="BC184" s="1898"/>
      <c r="BD184" s="1898"/>
      <c r="BE184" s="1898"/>
    </row>
    <row r="185" spans="1:57" ht="15.75" customHeight="1">
      <c r="A185" s="1190"/>
      <c r="B185" s="1190"/>
      <c r="C185" s="2001" t="s">
        <v>2326</v>
      </c>
      <c r="D185" s="2002"/>
      <c r="E185" s="2002"/>
      <c r="F185" s="2002"/>
      <c r="G185" s="2002"/>
      <c r="H185" s="2002"/>
      <c r="I185" s="2002"/>
      <c r="J185" s="2002"/>
      <c r="K185" s="2002"/>
      <c r="L185" s="2002"/>
      <c r="M185" s="2002"/>
      <c r="N185" s="2012">
        <f>'Sources and Uses Budget'!B105</f>
        <v>90329125</v>
      </c>
      <c r="O185" s="2012"/>
      <c r="P185" s="2012"/>
      <c r="Q185" s="2012"/>
      <c r="R185" s="2012"/>
      <c r="S185" s="2012"/>
      <c r="T185" s="2012"/>
      <c r="U185" s="2026"/>
      <c r="V185" s="2026"/>
      <c r="W185" s="2026"/>
      <c r="X185" s="2026"/>
      <c r="Y185" s="2026"/>
      <c r="Z185" s="2026"/>
      <c r="AA185" s="2026"/>
      <c r="AB185" s="2026"/>
      <c r="AC185" s="2026"/>
      <c r="AD185" s="2026"/>
      <c r="AE185" s="2027"/>
      <c r="AF185" s="1190"/>
      <c r="AG185" s="1190"/>
      <c r="AH185" s="1898"/>
      <c r="AI185" s="1898"/>
      <c r="AJ185" s="1898"/>
      <c r="AK185" s="1898"/>
      <c r="AL185" s="1898"/>
      <c r="AM185" s="1898"/>
      <c r="AN185" s="1898"/>
      <c r="AO185" s="1898"/>
      <c r="AP185" s="1898"/>
      <c r="AQ185" s="1898"/>
      <c r="AR185" s="1898"/>
      <c r="AS185" s="1898"/>
      <c r="AT185" s="1898"/>
      <c r="AU185" s="1898"/>
      <c r="AV185" s="1898"/>
      <c r="AW185" s="1898"/>
      <c r="AX185" s="1898"/>
      <c r="AY185" s="1898"/>
      <c r="AZ185" s="1898"/>
      <c r="BA185" s="1898"/>
      <c r="BB185" s="1898"/>
      <c r="BC185" s="1898"/>
      <c r="BD185" s="1898"/>
      <c r="BE185" s="1898"/>
    </row>
    <row r="186" spans="1:57" ht="15.75" customHeight="1">
      <c r="A186" s="1190"/>
      <c r="B186" s="1190"/>
      <c r="C186" s="2001" t="s">
        <v>2325</v>
      </c>
      <c r="D186" s="2002"/>
      <c r="E186" s="2002"/>
      <c r="F186" s="2002"/>
      <c r="G186" s="2002"/>
      <c r="H186" s="2002"/>
      <c r="I186" s="2002"/>
      <c r="J186" s="2002"/>
      <c r="K186" s="2002"/>
      <c r="L186" s="2002"/>
      <c r="M186" s="2002"/>
      <c r="N186" s="2012">
        <f>N185/J29</f>
        <v>332092.3713235294</v>
      </c>
      <c r="O186" s="2012"/>
      <c r="P186" s="2012"/>
      <c r="Q186" s="2012"/>
      <c r="R186" s="2012"/>
      <c r="S186" s="2012"/>
      <c r="T186" s="2012"/>
      <c r="U186" s="1228"/>
      <c r="V186" s="1228"/>
      <c r="W186" s="1228"/>
      <c r="X186" s="1228"/>
      <c r="Y186" s="1228"/>
      <c r="Z186" s="1228"/>
      <c r="AA186" s="1228"/>
      <c r="AB186" s="1228"/>
      <c r="AC186" s="1228"/>
      <c r="AD186" s="1228"/>
      <c r="AE186" s="1229"/>
      <c r="AF186" s="1190"/>
      <c r="AG186" s="1190"/>
      <c r="AH186" s="1898"/>
      <c r="AI186" s="1898"/>
      <c r="AJ186" s="1898"/>
      <c r="AK186" s="1898"/>
      <c r="AL186" s="1898"/>
      <c r="AM186" s="1898"/>
      <c r="AN186" s="1898"/>
      <c r="AO186" s="1898"/>
      <c r="AP186" s="1898"/>
      <c r="AQ186" s="1898"/>
      <c r="AR186" s="1898"/>
      <c r="AS186" s="1898"/>
      <c r="AT186" s="1898"/>
      <c r="AU186" s="1898"/>
      <c r="AV186" s="1898"/>
      <c r="AW186" s="1898"/>
      <c r="AX186" s="1898"/>
      <c r="AY186" s="1898"/>
      <c r="AZ186" s="1898"/>
      <c r="BA186" s="1898"/>
      <c r="BB186" s="1898"/>
      <c r="BC186" s="1898"/>
      <c r="BD186" s="1898"/>
      <c r="BE186" s="1898"/>
    </row>
    <row r="187" spans="1:57" ht="15.75" customHeight="1">
      <c r="A187" s="1190"/>
      <c r="B187" s="1190"/>
      <c r="C187" s="2028" t="s">
        <v>2324</v>
      </c>
      <c r="D187" s="2029"/>
      <c r="E187" s="2029"/>
      <c r="F187" s="2029"/>
      <c r="G187" s="2029"/>
      <c r="H187" s="2029"/>
      <c r="I187" s="2029"/>
      <c r="J187" s="2029"/>
      <c r="K187" s="2029"/>
      <c r="L187" s="2029"/>
      <c r="M187" s="2029"/>
      <c r="N187" s="2030">
        <v>0</v>
      </c>
      <c r="O187" s="2030"/>
      <c r="P187" s="2030"/>
      <c r="Q187" s="2030"/>
      <c r="R187" s="2030"/>
      <c r="S187" s="2030"/>
      <c r="T187" s="2030"/>
      <c r="U187" s="1988"/>
      <c r="V187" s="1988"/>
      <c r="W187" s="1988"/>
      <c r="X187" s="1988"/>
      <c r="Y187" s="1988"/>
      <c r="Z187" s="1988"/>
      <c r="AA187" s="1988"/>
      <c r="AB187" s="1988"/>
      <c r="AC187" s="1988"/>
      <c r="AD187" s="1988"/>
      <c r="AE187" s="1989"/>
      <c r="AF187" s="1190"/>
      <c r="AG187" s="1190"/>
      <c r="AH187" s="1898"/>
      <c r="AI187" s="1898"/>
      <c r="AJ187" s="1898"/>
      <c r="AK187" s="1898"/>
      <c r="AL187" s="1898"/>
      <c r="AM187" s="1898"/>
      <c r="AN187" s="1898"/>
      <c r="AO187" s="1898"/>
      <c r="AP187" s="1898"/>
      <c r="AQ187" s="1898"/>
      <c r="AR187" s="1898"/>
      <c r="AS187" s="1898"/>
      <c r="AT187" s="1898"/>
      <c r="AU187" s="1898"/>
      <c r="AV187" s="1898"/>
      <c r="AW187" s="1898"/>
      <c r="AX187" s="1898"/>
      <c r="AY187" s="1898"/>
      <c r="AZ187" s="1898"/>
      <c r="BA187" s="1898"/>
      <c r="BB187" s="1898"/>
      <c r="BC187" s="1898"/>
      <c r="BD187" s="1898"/>
      <c r="BE187" s="1898"/>
    </row>
    <row r="188" spans="1:57" ht="15.75" customHeight="1" thickBot="1">
      <c r="A188" s="1190"/>
      <c r="B188" s="1190"/>
      <c r="C188" s="2001" t="s">
        <v>2323</v>
      </c>
      <c r="D188" s="2002"/>
      <c r="E188" s="2002"/>
      <c r="F188" s="2002"/>
      <c r="G188" s="2002"/>
      <c r="H188" s="2002"/>
      <c r="I188" s="2002"/>
      <c r="J188" s="2002"/>
      <c r="K188" s="2002"/>
      <c r="L188" s="2002"/>
      <c r="M188" s="2002"/>
      <c r="N188" s="2031">
        <f>SUM('Sources and Uses Budget'!B85:B86)</f>
        <v>4058359</v>
      </c>
      <c r="O188" s="2031"/>
      <c r="P188" s="2031"/>
      <c r="Q188" s="2031"/>
      <c r="R188" s="2031"/>
      <c r="S188" s="2031"/>
      <c r="T188" s="2031"/>
      <c r="U188" s="1988"/>
      <c r="V188" s="1988"/>
      <c r="W188" s="1988"/>
      <c r="X188" s="1988"/>
      <c r="Y188" s="1988"/>
      <c r="Z188" s="1988"/>
      <c r="AA188" s="1988"/>
      <c r="AB188" s="1988"/>
      <c r="AC188" s="1988"/>
      <c r="AD188" s="1988"/>
      <c r="AE188" s="1989"/>
      <c r="AF188" s="1190"/>
      <c r="AG188" s="1190"/>
      <c r="AH188" s="1898"/>
      <c r="AI188" s="1898"/>
      <c r="AJ188" s="1898"/>
      <c r="AK188" s="1898"/>
      <c r="AL188" s="1898"/>
      <c r="AM188" s="1898"/>
      <c r="AN188" s="1898"/>
      <c r="AO188" s="1898"/>
      <c r="AP188" s="1898"/>
      <c r="AQ188" s="1898"/>
      <c r="AR188" s="1898"/>
      <c r="AS188" s="1898"/>
      <c r="AT188" s="1898"/>
      <c r="AU188" s="1898"/>
      <c r="AV188" s="1898"/>
      <c r="AW188" s="1898"/>
      <c r="AX188" s="1898"/>
      <c r="AY188" s="1898"/>
      <c r="AZ188" s="1898"/>
      <c r="BA188" s="1898"/>
      <c r="BB188" s="1898"/>
      <c r="BC188" s="1898"/>
      <c r="BD188" s="1898"/>
      <c r="BE188" s="1898"/>
    </row>
    <row r="189" spans="1:57" ht="15.75" customHeight="1" thickBot="1">
      <c r="A189" s="1190"/>
      <c r="B189" s="1190"/>
      <c r="C189" s="2001" t="s">
        <v>2322</v>
      </c>
      <c r="D189" s="2002"/>
      <c r="E189" s="2002"/>
      <c r="F189" s="2002"/>
      <c r="G189" s="2002"/>
      <c r="H189" s="2002"/>
      <c r="I189" s="2002"/>
      <c r="J189" s="2002"/>
      <c r="K189" s="2002"/>
      <c r="L189" s="2002"/>
      <c r="M189" s="2002"/>
      <c r="N189" s="2031">
        <f>'Sources and Uses Budget'!B8</f>
        <v>296251</v>
      </c>
      <c r="O189" s="2031"/>
      <c r="P189" s="2031"/>
      <c r="Q189" s="2031"/>
      <c r="R189" s="2031"/>
      <c r="S189" s="2031"/>
      <c r="T189" s="2031"/>
      <c r="U189" s="1988"/>
      <c r="V189" s="1988"/>
      <c r="W189" s="1988"/>
      <c r="X189" s="1988"/>
      <c r="Y189" s="1988"/>
      <c r="Z189" s="1988"/>
      <c r="AA189" s="1988"/>
      <c r="AB189" s="1988"/>
      <c r="AC189" s="1988"/>
      <c r="AD189" s="1988"/>
      <c r="AE189" s="1989"/>
      <c r="AF189" s="1190"/>
      <c r="AG189" s="1190"/>
      <c r="AH189" s="1998" t="s">
        <v>2320</v>
      </c>
      <c r="AI189" s="1999"/>
      <c r="AJ189" s="1999"/>
      <c r="AK189" s="1999"/>
      <c r="AL189" s="1999"/>
      <c r="AM189" s="1999"/>
      <c r="AN189" s="1999"/>
      <c r="AO189" s="1999"/>
      <c r="AP189" s="1999"/>
      <c r="AQ189" s="1999"/>
      <c r="AR189" s="1999"/>
      <c r="AS189" s="1999"/>
      <c r="AT189" s="1999"/>
      <c r="AU189" s="1999"/>
      <c r="AV189" s="1999"/>
      <c r="AW189" s="1999"/>
      <c r="AX189" s="1999"/>
      <c r="AY189" s="1999"/>
      <c r="AZ189" s="1999"/>
      <c r="BA189" s="1999"/>
      <c r="BB189" s="1999"/>
      <c r="BC189" s="1999"/>
      <c r="BD189" s="1999"/>
      <c r="BE189" s="2000"/>
    </row>
    <row r="190" spans="1:57" ht="15.75" customHeight="1">
      <c r="A190" s="1190"/>
      <c r="B190" s="1190"/>
      <c r="C190" s="2001" t="s">
        <v>2321</v>
      </c>
      <c r="D190" s="2002"/>
      <c r="E190" s="2002"/>
      <c r="F190" s="2002"/>
      <c r="G190" s="2002"/>
      <c r="H190" s="2002"/>
      <c r="I190" s="2002"/>
      <c r="J190" s="2002"/>
      <c r="K190" s="2002"/>
      <c r="L190" s="2002"/>
      <c r="M190" s="2002"/>
      <c r="N190" s="1987">
        <v>0</v>
      </c>
      <c r="O190" s="1987"/>
      <c r="P190" s="1987"/>
      <c r="Q190" s="1987"/>
      <c r="R190" s="1987"/>
      <c r="S190" s="1987"/>
      <c r="T190" s="1987"/>
      <c r="U190" s="1988"/>
      <c r="V190" s="1988"/>
      <c r="W190" s="1988"/>
      <c r="X190" s="1988"/>
      <c r="Y190" s="1988"/>
      <c r="Z190" s="1988"/>
      <c r="AA190" s="1988"/>
      <c r="AB190" s="1988"/>
      <c r="AC190" s="1988"/>
      <c r="AD190" s="1988"/>
      <c r="AE190" s="1989"/>
      <c r="AF190" s="1190"/>
      <c r="AG190" s="1190"/>
      <c r="AH190" s="2003" t="s">
        <v>2320</v>
      </c>
      <c r="AI190" s="2004"/>
      <c r="AJ190" s="2004"/>
      <c r="AK190" s="2004"/>
      <c r="AL190" s="2004"/>
      <c r="AM190" s="2004"/>
      <c r="AN190" s="2004"/>
      <c r="AO190" s="2004"/>
      <c r="AP190" s="2004"/>
      <c r="AQ190" s="2004"/>
      <c r="AR190" s="2004"/>
      <c r="AS190" s="2004"/>
      <c r="AT190" s="2004"/>
      <c r="AU190" s="2005">
        <v>0</v>
      </c>
      <c r="AV190" s="2005"/>
      <c r="AW190" s="2005"/>
      <c r="AX190" s="2005"/>
      <c r="AY190" s="2005"/>
      <c r="AZ190" s="2005"/>
      <c r="BA190" s="2005"/>
      <c r="BB190" s="2005"/>
      <c r="BC190" s="2006"/>
      <c r="BD190" s="2007"/>
      <c r="BE190" s="2008"/>
    </row>
    <row r="191" spans="1:57" ht="15.75" customHeight="1">
      <c r="A191" s="1190"/>
      <c r="B191" s="1190"/>
      <c r="C191" s="2001" t="s">
        <v>2319</v>
      </c>
      <c r="D191" s="2002"/>
      <c r="E191" s="2002"/>
      <c r="F191" s="2002"/>
      <c r="G191" s="2002"/>
      <c r="H191" s="2002"/>
      <c r="I191" s="2002"/>
      <c r="J191" s="2002"/>
      <c r="K191" s="2002"/>
      <c r="L191" s="2002"/>
      <c r="M191" s="2002"/>
      <c r="N191" s="1987">
        <v>0</v>
      </c>
      <c r="O191" s="1987"/>
      <c r="P191" s="1987"/>
      <c r="Q191" s="1987"/>
      <c r="R191" s="1987"/>
      <c r="S191" s="1987"/>
      <c r="T191" s="1987"/>
      <c r="U191" s="1988"/>
      <c r="V191" s="1988"/>
      <c r="W191" s="1988"/>
      <c r="X191" s="1988"/>
      <c r="Y191" s="1988"/>
      <c r="Z191" s="1988"/>
      <c r="AA191" s="1988"/>
      <c r="AB191" s="1988"/>
      <c r="AC191" s="1988"/>
      <c r="AD191" s="1988"/>
      <c r="AE191" s="1989"/>
      <c r="AF191" s="1190"/>
      <c r="AG191" s="1190"/>
      <c r="AH191" s="2019" t="s">
        <v>2318</v>
      </c>
      <c r="AI191" s="2020"/>
      <c r="AJ191" s="2020"/>
      <c r="AK191" s="2020"/>
      <c r="AL191" s="2020"/>
      <c r="AM191" s="2020"/>
      <c r="AN191" s="2020"/>
      <c r="AO191" s="2020"/>
      <c r="AP191" s="2020"/>
      <c r="AQ191" s="2020"/>
      <c r="AR191" s="2020"/>
      <c r="AS191" s="2020"/>
      <c r="AT191" s="2020"/>
      <c r="AU191" s="2021"/>
      <c r="AV191" s="2021"/>
      <c r="AW191" s="2021"/>
      <c r="AX191" s="2021"/>
      <c r="AY191" s="2021"/>
      <c r="AZ191" s="2021"/>
      <c r="BA191" s="2021"/>
      <c r="BB191" s="2021"/>
      <c r="BC191" s="2009"/>
      <c r="BD191" s="2010"/>
      <c r="BE191" s="2011"/>
    </row>
    <row r="192" spans="1:57" ht="15.75" customHeight="1">
      <c r="A192" s="1190"/>
      <c r="B192" s="1190"/>
      <c r="C192" s="1993" t="s">
        <v>299</v>
      </c>
      <c r="D192" s="1994"/>
      <c r="E192" s="1986" t="s">
        <v>2316</v>
      </c>
      <c r="F192" s="1986"/>
      <c r="G192" s="1986"/>
      <c r="H192" s="1986"/>
      <c r="I192" s="1986"/>
      <c r="J192" s="1986"/>
      <c r="K192" s="1986"/>
      <c r="L192" s="1986"/>
      <c r="M192" s="1986"/>
      <c r="N192" s="1987">
        <v>0</v>
      </c>
      <c r="O192" s="1987"/>
      <c r="P192" s="1987"/>
      <c r="Q192" s="1987"/>
      <c r="R192" s="1987"/>
      <c r="S192" s="1987"/>
      <c r="T192" s="1987"/>
      <c r="U192" s="1988"/>
      <c r="V192" s="1988"/>
      <c r="W192" s="1988"/>
      <c r="X192" s="1988"/>
      <c r="Y192" s="1988"/>
      <c r="Z192" s="1988"/>
      <c r="AA192" s="1988"/>
      <c r="AB192" s="1988"/>
      <c r="AC192" s="1988"/>
      <c r="AD192" s="1988"/>
      <c r="AE192" s="1989"/>
      <c r="AF192" s="1190"/>
      <c r="AG192" s="1190"/>
      <c r="AH192" s="1995" t="s">
        <v>2317</v>
      </c>
      <c r="AI192" s="1996"/>
      <c r="AJ192" s="1996"/>
      <c r="AK192" s="1996"/>
      <c r="AL192" s="1996"/>
      <c r="AM192" s="1996"/>
      <c r="AN192" s="1996"/>
      <c r="AO192" s="1996"/>
      <c r="AP192" s="1996"/>
      <c r="AQ192" s="1996"/>
      <c r="AR192" s="1996"/>
      <c r="AS192" s="1996"/>
      <c r="AT192" s="1996"/>
      <c r="AU192" s="1997">
        <f>SUM(AU190:BB191)</f>
        <v>0</v>
      </c>
      <c r="AV192" s="1997"/>
      <c r="AW192" s="1997"/>
      <c r="AX192" s="1997"/>
      <c r="AY192" s="1997"/>
      <c r="AZ192" s="1997"/>
      <c r="BA192" s="1997"/>
      <c r="BB192" s="1997"/>
      <c r="BC192" s="2009"/>
      <c r="BD192" s="2010"/>
      <c r="BE192" s="2011"/>
    </row>
    <row r="193" spans="1:57" ht="15.75" customHeight="1" thickBot="1">
      <c r="A193" s="1190"/>
      <c r="B193" s="1190"/>
      <c r="C193" s="1984" t="s">
        <v>299</v>
      </c>
      <c r="D193" s="1985"/>
      <c r="E193" s="1986" t="s">
        <v>2316</v>
      </c>
      <c r="F193" s="1986"/>
      <c r="G193" s="1986"/>
      <c r="H193" s="1986"/>
      <c r="I193" s="1986"/>
      <c r="J193" s="1986"/>
      <c r="K193" s="1986"/>
      <c r="L193" s="1986"/>
      <c r="M193" s="1986"/>
      <c r="N193" s="1987">
        <v>0</v>
      </c>
      <c r="O193" s="1987"/>
      <c r="P193" s="1987"/>
      <c r="Q193" s="1987"/>
      <c r="R193" s="1987"/>
      <c r="S193" s="1987"/>
      <c r="T193" s="1987"/>
      <c r="U193" s="1988"/>
      <c r="V193" s="1988"/>
      <c r="W193" s="1988"/>
      <c r="X193" s="1988"/>
      <c r="Y193" s="1988"/>
      <c r="Z193" s="1988"/>
      <c r="AA193" s="1988"/>
      <c r="AB193" s="1988"/>
      <c r="AC193" s="1988"/>
      <c r="AD193" s="1988"/>
      <c r="AE193" s="1989"/>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1990"/>
      <c r="BD193" s="1991"/>
      <c r="BE193" s="1992"/>
    </row>
    <row r="194" spans="1:57" ht="15.75" customHeight="1" thickBot="1">
      <c r="A194" s="1190"/>
      <c r="B194" s="1190"/>
      <c r="C194" s="1972" t="s">
        <v>299</v>
      </c>
      <c r="D194" s="1973"/>
      <c r="E194" s="1974" t="s">
        <v>2316</v>
      </c>
      <c r="F194" s="1974"/>
      <c r="G194" s="1974"/>
      <c r="H194" s="1974"/>
      <c r="I194" s="1974"/>
      <c r="J194" s="1974"/>
      <c r="K194" s="1974"/>
      <c r="L194" s="1974"/>
      <c r="M194" s="1975"/>
      <c r="N194" s="1976">
        <v>0</v>
      </c>
      <c r="O194" s="1976"/>
      <c r="P194" s="1976"/>
      <c r="Q194" s="1976"/>
      <c r="R194" s="1976"/>
      <c r="S194" s="1976"/>
      <c r="T194" s="1977"/>
      <c r="U194" s="1978"/>
      <c r="V194" s="1979"/>
      <c r="W194" s="1979"/>
      <c r="X194" s="1979"/>
      <c r="Y194" s="1979"/>
      <c r="Z194" s="1979"/>
      <c r="AA194" s="1979"/>
      <c r="AB194" s="1979"/>
      <c r="AC194" s="1979"/>
      <c r="AD194" s="1979"/>
      <c r="AE194" s="1980"/>
      <c r="AF194" s="1190"/>
      <c r="AG194" s="1190"/>
      <c r="AH194" s="1981" t="s">
        <v>2315</v>
      </c>
      <c r="AI194" s="1982"/>
      <c r="AJ194" s="1982"/>
      <c r="AK194" s="1982"/>
      <c r="AL194" s="1982"/>
      <c r="AM194" s="1982"/>
      <c r="AN194" s="1982"/>
      <c r="AO194" s="1982"/>
      <c r="AP194" s="1982"/>
      <c r="AQ194" s="1982"/>
      <c r="AR194" s="1982"/>
      <c r="AS194" s="1982"/>
      <c r="AT194" s="1982"/>
      <c r="AU194" s="1983"/>
      <c r="AV194" s="1983"/>
      <c r="AW194" s="1983"/>
      <c r="AX194" s="1983"/>
      <c r="AY194" s="1983"/>
      <c r="AZ194" s="1983"/>
      <c r="BA194" s="1983"/>
      <c r="BB194" s="1983"/>
      <c r="BC194" s="1171"/>
      <c r="BD194" s="1171"/>
      <c r="BE194" s="1232"/>
    </row>
    <row r="195" spans="1:57" ht="15.75" customHeight="1">
      <c r="A195" s="1190"/>
      <c r="B195" s="1190"/>
      <c r="C195" s="1955" t="s">
        <v>2314</v>
      </c>
      <c r="D195" s="1956"/>
      <c r="E195" s="1956"/>
      <c r="F195" s="1956"/>
      <c r="G195" s="1956"/>
      <c r="H195" s="1956"/>
      <c r="I195" s="1956"/>
      <c r="J195" s="1956"/>
      <c r="K195" s="1956"/>
      <c r="L195" s="1956"/>
      <c r="M195" s="1956"/>
      <c r="N195" s="1957">
        <f>SUM(N187:T194)</f>
        <v>4354610</v>
      </c>
      <c r="O195" s="1957"/>
      <c r="P195" s="1957"/>
      <c r="Q195" s="1957"/>
      <c r="R195" s="1957"/>
      <c r="S195" s="1957"/>
      <c r="T195" s="1958"/>
      <c r="U195" s="1190"/>
      <c r="V195" s="1190"/>
      <c r="W195" s="1190"/>
      <c r="X195" s="1190"/>
      <c r="Y195" s="1190"/>
      <c r="Z195" s="1190"/>
      <c r="AA195" s="1190"/>
      <c r="AB195" s="1190"/>
      <c r="AC195" s="1190"/>
      <c r="AD195" s="1190"/>
      <c r="AE195" s="1190"/>
      <c r="AF195" s="1190"/>
      <c r="AG195" s="1190"/>
      <c r="AH195" s="1959" t="s">
        <v>2313</v>
      </c>
      <c r="AI195" s="1960"/>
      <c r="AJ195" s="1960"/>
      <c r="AK195" s="1960"/>
      <c r="AL195" s="1960"/>
      <c r="AM195" s="1960"/>
      <c r="AN195" s="1960"/>
      <c r="AO195" s="1960"/>
      <c r="AP195" s="1960"/>
      <c r="AQ195" s="1960"/>
      <c r="AR195" s="1960"/>
      <c r="AS195" s="1960"/>
      <c r="AT195" s="1960"/>
      <c r="AU195" s="1960"/>
      <c r="AV195" s="1960"/>
      <c r="AW195" s="1960"/>
      <c r="AX195" s="1960"/>
      <c r="AY195" s="1960"/>
      <c r="AZ195" s="1960"/>
      <c r="BA195" s="1960"/>
      <c r="BB195" s="1960"/>
      <c r="BC195" s="1960"/>
      <c r="BD195" s="1960"/>
      <c r="BE195" s="1961"/>
    </row>
    <row r="196" spans="1:57" ht="15.75" customHeight="1" thickBot="1">
      <c r="A196" s="1190"/>
      <c r="B196" s="1190"/>
      <c r="C196" s="1965" t="s">
        <v>2312</v>
      </c>
      <c r="D196" s="1966"/>
      <c r="E196" s="1966"/>
      <c r="F196" s="1966"/>
      <c r="G196" s="1966"/>
      <c r="H196" s="1966"/>
      <c r="I196" s="1966"/>
      <c r="J196" s="1966"/>
      <c r="K196" s="1966"/>
      <c r="L196" s="1966"/>
      <c r="M196" s="1966"/>
      <c r="N196" s="1967">
        <f>(N185-N195)/J29</f>
        <v>316082.7757352941</v>
      </c>
      <c r="O196" s="1968"/>
      <c r="P196" s="1968"/>
      <c r="Q196" s="1968"/>
      <c r="R196" s="1968"/>
      <c r="S196" s="1968"/>
      <c r="T196" s="1969"/>
      <c r="U196" s="1195"/>
      <c r="V196" s="1190"/>
      <c r="W196" s="1190"/>
      <c r="X196" s="1190"/>
      <c r="Y196" s="1190"/>
      <c r="Z196" s="1190"/>
      <c r="AA196" s="1190"/>
      <c r="AB196" s="1190"/>
      <c r="AC196" s="1190"/>
      <c r="AD196" s="1190"/>
      <c r="AE196" s="1190"/>
      <c r="AF196" s="1190"/>
      <c r="AG196" s="1190"/>
      <c r="AH196" s="1962"/>
      <c r="AI196" s="1963"/>
      <c r="AJ196" s="1963"/>
      <c r="AK196" s="1963"/>
      <c r="AL196" s="1963"/>
      <c r="AM196" s="1963"/>
      <c r="AN196" s="1963"/>
      <c r="AO196" s="1963"/>
      <c r="AP196" s="1963"/>
      <c r="AQ196" s="1963"/>
      <c r="AR196" s="1963"/>
      <c r="AS196" s="1963"/>
      <c r="AT196" s="1963"/>
      <c r="AU196" s="1963"/>
      <c r="AV196" s="1963"/>
      <c r="AW196" s="1963"/>
      <c r="AX196" s="1963"/>
      <c r="AY196" s="1963"/>
      <c r="AZ196" s="1963"/>
      <c r="BA196" s="1963"/>
      <c r="BB196" s="1963"/>
      <c r="BC196" s="1963"/>
      <c r="BD196" s="1963"/>
      <c r="BE196" s="1964"/>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1970"/>
      <c r="AI197" s="1970"/>
      <c r="AJ197" s="1970"/>
      <c r="AK197" s="1970"/>
      <c r="AL197" s="1970"/>
      <c r="AM197" s="1970"/>
      <c r="AN197" s="1970"/>
      <c r="AO197" s="1970"/>
      <c r="AP197" s="1970"/>
      <c r="AQ197" s="1970"/>
      <c r="AR197" s="1970"/>
      <c r="AS197" s="1971"/>
      <c r="AT197" s="1971"/>
      <c r="AU197" s="1971"/>
      <c r="AV197" s="1971"/>
      <c r="AW197" s="1971"/>
      <c r="AX197" s="1971"/>
      <c r="AY197" s="1971"/>
      <c r="AZ197" s="1971"/>
      <c r="BA197" s="1971"/>
      <c r="BB197" s="1971"/>
      <c r="BC197" s="1971"/>
      <c r="BD197" s="1971"/>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1950" t="s">
        <v>2311</v>
      </c>
      <c r="D199" s="1951"/>
      <c r="E199" s="1951"/>
      <c r="F199" s="1951"/>
      <c r="G199" s="1951"/>
      <c r="H199" s="1951"/>
      <c r="I199" s="1951"/>
      <c r="J199" s="1951"/>
      <c r="K199" s="1951"/>
      <c r="L199" s="1951"/>
      <c r="M199" s="1951"/>
      <c r="N199" s="1951"/>
      <c r="O199" s="1951"/>
      <c r="P199" s="1951"/>
      <c r="Q199" s="1951"/>
      <c r="R199" s="1951"/>
      <c r="S199" s="1951"/>
      <c r="T199" s="1951"/>
      <c r="U199" s="1951"/>
      <c r="V199" s="1951"/>
      <c r="W199" s="1951"/>
      <c r="X199" s="1951"/>
      <c r="Y199" s="1951"/>
      <c r="Z199" s="1951"/>
      <c r="AA199" s="1951"/>
      <c r="AB199" s="1951"/>
      <c r="AC199" s="1951"/>
      <c r="AD199" s="1951"/>
      <c r="AE199" s="1952"/>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1953" t="s">
        <v>2310</v>
      </c>
      <c r="D200" s="1953"/>
      <c r="E200" s="1953"/>
      <c r="F200" s="1953"/>
      <c r="G200" s="1953"/>
      <c r="H200" s="1953"/>
      <c r="I200" s="1953"/>
      <c r="J200" s="1953"/>
      <c r="K200" s="1953"/>
      <c r="L200" s="1953"/>
      <c r="M200" s="1953"/>
      <c r="N200" s="1953"/>
      <c r="O200" s="1954" t="s">
        <v>2309</v>
      </c>
      <c r="P200" s="1954"/>
      <c r="Q200" s="1954"/>
      <c r="R200" s="1954"/>
      <c r="S200" s="1954"/>
      <c r="T200" s="1954"/>
      <c r="U200" s="1954"/>
      <c r="V200" s="1954"/>
      <c r="W200" s="1954"/>
      <c r="X200" s="1954" t="s">
        <v>2308</v>
      </c>
      <c r="Y200" s="1954"/>
      <c r="Z200" s="1954"/>
      <c r="AA200" s="1954"/>
      <c r="AB200" s="1954"/>
      <c r="AC200" s="1954"/>
      <c r="AD200" s="1954"/>
      <c r="AE200" s="1954"/>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1945" t="s">
        <v>2307</v>
      </c>
      <c r="D201" s="1945"/>
      <c r="E201" s="1945"/>
      <c r="F201" s="1945"/>
      <c r="G201" s="1945"/>
      <c r="H201" s="1945"/>
      <c r="I201" s="1945"/>
      <c r="J201" s="1945"/>
      <c r="K201" s="1945"/>
      <c r="L201" s="1945"/>
      <c r="M201" s="1945"/>
      <c r="N201" s="1945"/>
      <c r="O201" s="1946" t="s">
        <v>2306</v>
      </c>
      <c r="P201" s="1946"/>
      <c r="Q201" s="1946"/>
      <c r="R201" s="1946"/>
      <c r="S201" s="1946"/>
      <c r="T201" s="1946"/>
      <c r="U201" s="1946"/>
      <c r="V201" s="1946"/>
      <c r="W201" s="1946"/>
      <c r="X201" s="1947">
        <v>0.03</v>
      </c>
      <c r="Y201" s="1947"/>
      <c r="Z201" s="1947"/>
      <c r="AA201" s="1947"/>
      <c r="AB201" s="1947"/>
      <c r="AC201" s="1947"/>
      <c r="AD201" s="1947"/>
      <c r="AE201" s="1947"/>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1945" t="s">
        <v>854</v>
      </c>
      <c r="D202" s="1945"/>
      <c r="E202" s="1945"/>
      <c r="F202" s="1945"/>
      <c r="G202" s="1945"/>
      <c r="H202" s="1945"/>
      <c r="I202" s="1945"/>
      <c r="J202" s="1945"/>
      <c r="K202" s="1945"/>
      <c r="L202" s="1945"/>
      <c r="M202" s="1945"/>
      <c r="N202" s="1945"/>
      <c r="O202" s="1946" t="s">
        <v>2306</v>
      </c>
      <c r="P202" s="1946"/>
      <c r="Q202" s="1946"/>
      <c r="R202" s="1946"/>
      <c r="S202" s="1946"/>
      <c r="T202" s="1946"/>
      <c r="U202" s="1946"/>
      <c r="V202" s="1946"/>
      <c r="W202" s="1946"/>
      <c r="X202" s="1947">
        <v>0.03</v>
      </c>
      <c r="Y202" s="1947"/>
      <c r="Z202" s="1947"/>
      <c r="AA202" s="1947"/>
      <c r="AB202" s="1947"/>
      <c r="AC202" s="1947"/>
      <c r="AD202" s="1947"/>
      <c r="AE202" s="1947"/>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1945" t="s">
        <v>2305</v>
      </c>
      <c r="D203" s="1945"/>
      <c r="E203" s="1945"/>
      <c r="F203" s="1945"/>
      <c r="G203" s="1945"/>
      <c r="H203" s="1945"/>
      <c r="I203" s="1945"/>
      <c r="J203" s="1945"/>
      <c r="K203" s="1945"/>
      <c r="L203" s="1945"/>
      <c r="M203" s="1945"/>
      <c r="N203" s="1945"/>
      <c r="O203" s="1948">
        <f>SUM(O201:W202)</f>
        <v>0</v>
      </c>
      <c r="P203" s="1949"/>
      <c r="Q203" s="1949"/>
      <c r="R203" s="1949"/>
      <c r="S203" s="1949"/>
      <c r="T203" s="1949"/>
      <c r="U203" s="1949"/>
      <c r="V203" s="1949"/>
      <c r="W203" s="1949"/>
      <c r="X203" s="1949" t="s">
        <v>2304</v>
      </c>
      <c r="Y203" s="1949"/>
      <c r="Z203" s="1949"/>
      <c r="AA203" s="1949"/>
      <c r="AB203" s="1949"/>
      <c r="AC203" s="1949"/>
      <c r="AD203" s="1949"/>
      <c r="AE203" s="1949"/>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1919" t="s">
        <v>2303</v>
      </c>
      <c r="D204" s="1919"/>
      <c r="E204" s="1919"/>
      <c r="F204" s="1919"/>
      <c r="G204" s="1919"/>
      <c r="H204" s="1919"/>
      <c r="I204" s="1919"/>
      <c r="J204" s="1919"/>
      <c r="K204" s="1919"/>
      <c r="L204" s="1919"/>
      <c r="M204" s="1919"/>
      <c r="N204" s="1919"/>
      <c r="O204" s="1919"/>
      <c r="P204" s="1919"/>
      <c r="Q204" s="1919"/>
      <c r="R204" s="1919"/>
      <c r="S204" s="1919"/>
      <c r="T204" s="1919"/>
      <c r="U204" s="1919"/>
      <c r="V204" s="1919"/>
      <c r="W204" s="1919"/>
      <c r="X204" s="1919"/>
      <c r="Y204" s="1919"/>
      <c r="Z204" s="1919"/>
      <c r="AA204" s="1919"/>
      <c r="AB204" s="1919"/>
      <c r="AC204" s="1919"/>
      <c r="AD204" s="1919"/>
      <c r="AE204" s="1919"/>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1920" t="s">
        <v>2302</v>
      </c>
      <c r="D206" s="1921"/>
      <c r="E206" s="1921"/>
      <c r="F206" s="1921"/>
      <c r="G206" s="1921"/>
      <c r="H206" s="1921"/>
      <c r="I206" s="1921"/>
      <c r="J206" s="1921"/>
      <c r="K206" s="1921"/>
      <c r="L206" s="1921"/>
      <c r="M206" s="1921"/>
      <c r="N206" s="1921"/>
      <c r="O206" s="1921"/>
      <c r="P206" s="1921"/>
      <c r="Q206" s="1921"/>
      <c r="R206" s="1921"/>
      <c r="S206" s="1921"/>
      <c r="T206" s="1921"/>
      <c r="U206" s="1921"/>
      <c r="V206" s="1921"/>
      <c r="W206" s="1921"/>
      <c r="X206" s="1921"/>
      <c r="Y206" s="1921"/>
      <c r="Z206" s="1921"/>
      <c r="AA206" s="1921"/>
      <c r="AB206" s="1921"/>
      <c r="AC206" s="1921"/>
      <c r="AD206" s="1921"/>
      <c r="AE206" s="1921"/>
      <c r="AF206" s="1921"/>
      <c r="AG206" s="1921"/>
      <c r="AH206" s="1921"/>
      <c r="AI206" s="1921"/>
      <c r="AJ206" s="1921"/>
      <c r="AK206" s="1922"/>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1923" t="s">
        <v>2301</v>
      </c>
      <c r="D207" s="1924"/>
      <c r="E207" s="1924"/>
      <c r="F207" s="1925"/>
      <c r="G207" s="1929" t="s">
        <v>2300</v>
      </c>
      <c r="H207" s="1924"/>
      <c r="I207" s="1924"/>
      <c r="J207" s="1924"/>
      <c r="K207" s="1924"/>
      <c r="L207" s="1924"/>
      <c r="M207" s="1924"/>
      <c r="N207" s="1924"/>
      <c r="O207" s="1925"/>
      <c r="P207" s="1931" t="s">
        <v>2299</v>
      </c>
      <c r="Q207" s="1932"/>
      <c r="R207" s="1932"/>
      <c r="S207" s="1932"/>
      <c r="T207" s="1933"/>
      <c r="U207" s="1937" t="s">
        <v>2298</v>
      </c>
      <c r="V207" s="1938"/>
      <c r="W207" s="1938"/>
      <c r="X207" s="1939"/>
      <c r="Y207" s="1937" t="s">
        <v>2297</v>
      </c>
      <c r="Z207" s="1938"/>
      <c r="AA207" s="1938"/>
      <c r="AB207" s="1939"/>
      <c r="AC207" s="1937" t="s">
        <v>2296</v>
      </c>
      <c r="AD207" s="1938"/>
      <c r="AE207" s="1938"/>
      <c r="AF207" s="1939"/>
      <c r="AG207" s="1929" t="s">
        <v>2295</v>
      </c>
      <c r="AH207" s="1924"/>
      <c r="AI207" s="1924"/>
      <c r="AJ207" s="1924"/>
      <c r="AK207" s="1943"/>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1926"/>
      <c r="D208" s="1927"/>
      <c r="E208" s="1927"/>
      <c r="F208" s="1928"/>
      <c r="G208" s="1930"/>
      <c r="H208" s="1927"/>
      <c r="I208" s="1927"/>
      <c r="J208" s="1927"/>
      <c r="K208" s="1927"/>
      <c r="L208" s="1927"/>
      <c r="M208" s="1927"/>
      <c r="N208" s="1927"/>
      <c r="O208" s="1928"/>
      <c r="P208" s="1934"/>
      <c r="Q208" s="1935"/>
      <c r="R208" s="1935"/>
      <c r="S208" s="1935"/>
      <c r="T208" s="1936"/>
      <c r="U208" s="1940"/>
      <c r="V208" s="1941"/>
      <c r="W208" s="1941"/>
      <c r="X208" s="1942"/>
      <c r="Y208" s="1940"/>
      <c r="Z208" s="1941"/>
      <c r="AA208" s="1941"/>
      <c r="AB208" s="1942"/>
      <c r="AC208" s="1940"/>
      <c r="AD208" s="1941"/>
      <c r="AE208" s="1941"/>
      <c r="AF208" s="1942"/>
      <c r="AG208" s="1930"/>
      <c r="AH208" s="1927"/>
      <c r="AI208" s="1927"/>
      <c r="AJ208" s="1927"/>
      <c r="AK208" s="1944"/>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1912">
        <v>1</v>
      </c>
      <c r="D209" s="1913"/>
      <c r="E209" s="1913"/>
      <c r="F209" s="1913"/>
      <c r="G209" s="1914" t="s">
        <v>1884</v>
      </c>
      <c r="H209" s="1914"/>
      <c r="I209" s="1914"/>
      <c r="J209" s="1914"/>
      <c r="K209" s="1914"/>
      <c r="L209" s="1914"/>
      <c r="M209" s="1914"/>
      <c r="N209" s="1914"/>
      <c r="O209" s="1914"/>
      <c r="P209" s="1915"/>
      <c r="Q209" s="1918"/>
      <c r="R209" s="1918"/>
      <c r="S209" s="1918"/>
      <c r="T209" s="1918"/>
      <c r="U209" s="1916" t="s">
        <v>1884</v>
      </c>
      <c r="V209" s="1916"/>
      <c r="W209" s="1916"/>
      <c r="X209" s="1916"/>
      <c r="Y209" s="1916" t="s">
        <v>1884</v>
      </c>
      <c r="Z209" s="1916"/>
      <c r="AA209" s="1916"/>
      <c r="AB209" s="1916"/>
      <c r="AC209" s="1917" t="s">
        <v>1884</v>
      </c>
      <c r="AD209" s="1917"/>
      <c r="AE209" s="1917"/>
      <c r="AF209" s="1917"/>
      <c r="AG209" s="1901"/>
      <c r="AH209" s="1902"/>
      <c r="AI209" s="1902"/>
      <c r="AJ209" s="1902"/>
      <c r="AK209" s="1903"/>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1912">
        <v>2</v>
      </c>
      <c r="D210" s="1913"/>
      <c r="E210" s="1913"/>
      <c r="F210" s="1913"/>
      <c r="G210" s="1914" t="s">
        <v>1884</v>
      </c>
      <c r="H210" s="1914"/>
      <c r="I210" s="1914"/>
      <c r="J210" s="1914"/>
      <c r="K210" s="1914"/>
      <c r="L210" s="1914"/>
      <c r="M210" s="1914"/>
      <c r="N210" s="1914"/>
      <c r="O210" s="1914"/>
      <c r="P210" s="1915"/>
      <c r="Q210" s="1915"/>
      <c r="R210" s="1915"/>
      <c r="S210" s="1915"/>
      <c r="T210" s="1915"/>
      <c r="U210" s="1916" t="s">
        <v>1884</v>
      </c>
      <c r="V210" s="1916"/>
      <c r="W210" s="1916"/>
      <c r="X210" s="1916"/>
      <c r="Y210" s="1916" t="s">
        <v>1884</v>
      </c>
      <c r="Z210" s="1916"/>
      <c r="AA210" s="1916"/>
      <c r="AB210" s="1916"/>
      <c r="AC210" s="1917" t="s">
        <v>1884</v>
      </c>
      <c r="AD210" s="1917"/>
      <c r="AE210" s="1917"/>
      <c r="AF210" s="1917"/>
      <c r="AG210" s="1901"/>
      <c r="AH210" s="1902"/>
      <c r="AI210" s="1902"/>
      <c r="AJ210" s="1902"/>
      <c r="AK210" s="1903"/>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1912">
        <v>3</v>
      </c>
      <c r="D211" s="1913"/>
      <c r="E211" s="1913"/>
      <c r="F211" s="1913"/>
      <c r="G211" s="1914" t="s">
        <v>1884</v>
      </c>
      <c r="H211" s="1914"/>
      <c r="I211" s="1914"/>
      <c r="J211" s="1914"/>
      <c r="K211" s="1914"/>
      <c r="L211" s="1914"/>
      <c r="M211" s="1914"/>
      <c r="N211" s="1914"/>
      <c r="O211" s="1914"/>
      <c r="P211" s="1915"/>
      <c r="Q211" s="1915"/>
      <c r="R211" s="1915"/>
      <c r="S211" s="1915"/>
      <c r="T211" s="1915"/>
      <c r="U211" s="1916" t="s">
        <v>1884</v>
      </c>
      <c r="V211" s="1916"/>
      <c r="W211" s="1916"/>
      <c r="X211" s="1916"/>
      <c r="Y211" s="1916" t="s">
        <v>1884</v>
      </c>
      <c r="Z211" s="1916"/>
      <c r="AA211" s="1916"/>
      <c r="AB211" s="1916"/>
      <c r="AC211" s="1917" t="s">
        <v>1884</v>
      </c>
      <c r="AD211" s="1917"/>
      <c r="AE211" s="1917"/>
      <c r="AF211" s="1917"/>
      <c r="AG211" s="1901"/>
      <c r="AH211" s="1902"/>
      <c r="AI211" s="1902"/>
      <c r="AJ211" s="1902"/>
      <c r="AK211" s="1903"/>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1912">
        <v>4</v>
      </c>
      <c r="D212" s="1913"/>
      <c r="E212" s="1913"/>
      <c r="F212" s="1913"/>
      <c r="G212" s="1914" t="s">
        <v>1884</v>
      </c>
      <c r="H212" s="1914"/>
      <c r="I212" s="1914"/>
      <c r="J212" s="1914"/>
      <c r="K212" s="1914"/>
      <c r="L212" s="1914"/>
      <c r="M212" s="1914"/>
      <c r="N212" s="1914"/>
      <c r="O212" s="1914"/>
      <c r="P212" s="1915"/>
      <c r="Q212" s="1915"/>
      <c r="R212" s="1915"/>
      <c r="S212" s="1915"/>
      <c r="T212" s="1915"/>
      <c r="U212" s="1916" t="s">
        <v>1884</v>
      </c>
      <c r="V212" s="1916"/>
      <c r="W212" s="1916"/>
      <c r="X212" s="1916"/>
      <c r="Y212" s="1916" t="s">
        <v>1884</v>
      </c>
      <c r="Z212" s="1916"/>
      <c r="AA212" s="1916"/>
      <c r="AB212" s="1916"/>
      <c r="AC212" s="1917" t="s">
        <v>1884</v>
      </c>
      <c r="AD212" s="1917"/>
      <c r="AE212" s="1917"/>
      <c r="AF212" s="1917"/>
      <c r="AG212" s="1901"/>
      <c r="AH212" s="1902"/>
      <c r="AI212" s="1902"/>
      <c r="AJ212" s="1902"/>
      <c r="AK212" s="1903"/>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1912">
        <v>5</v>
      </c>
      <c r="D213" s="1913"/>
      <c r="E213" s="1913"/>
      <c r="F213" s="1913"/>
      <c r="G213" s="1914" t="s">
        <v>1884</v>
      </c>
      <c r="H213" s="1914"/>
      <c r="I213" s="1914"/>
      <c r="J213" s="1914"/>
      <c r="K213" s="1914"/>
      <c r="L213" s="1914"/>
      <c r="M213" s="1914"/>
      <c r="N213" s="1914"/>
      <c r="O213" s="1914"/>
      <c r="P213" s="1915"/>
      <c r="Q213" s="1915"/>
      <c r="R213" s="1915"/>
      <c r="S213" s="1915"/>
      <c r="T213" s="1915"/>
      <c r="U213" s="1916" t="s">
        <v>1884</v>
      </c>
      <c r="V213" s="1916"/>
      <c r="W213" s="1916"/>
      <c r="X213" s="1916"/>
      <c r="Y213" s="1916" t="s">
        <v>1884</v>
      </c>
      <c r="Z213" s="1916"/>
      <c r="AA213" s="1916"/>
      <c r="AB213" s="1916"/>
      <c r="AC213" s="1917" t="s">
        <v>1884</v>
      </c>
      <c r="AD213" s="1917"/>
      <c r="AE213" s="1917"/>
      <c r="AF213" s="1917"/>
      <c r="AG213" s="1901"/>
      <c r="AH213" s="1902"/>
      <c r="AI213" s="1902"/>
      <c r="AJ213" s="1902"/>
      <c r="AK213" s="1903"/>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1912">
        <v>6</v>
      </c>
      <c r="D214" s="1913"/>
      <c r="E214" s="1913"/>
      <c r="F214" s="1913"/>
      <c r="G214" s="1914" t="s">
        <v>1884</v>
      </c>
      <c r="H214" s="1914"/>
      <c r="I214" s="1914"/>
      <c r="J214" s="1914"/>
      <c r="K214" s="1914"/>
      <c r="L214" s="1914"/>
      <c r="M214" s="1914"/>
      <c r="N214" s="1914"/>
      <c r="O214" s="1914"/>
      <c r="P214" s="1915"/>
      <c r="Q214" s="1915"/>
      <c r="R214" s="1915"/>
      <c r="S214" s="1915"/>
      <c r="T214" s="1915"/>
      <c r="U214" s="1916"/>
      <c r="V214" s="1916"/>
      <c r="W214" s="1916"/>
      <c r="X214" s="1916"/>
      <c r="Y214" s="1916"/>
      <c r="Z214" s="1916"/>
      <c r="AA214" s="1916"/>
      <c r="AB214" s="1916"/>
      <c r="AC214" s="1917" t="s">
        <v>1884</v>
      </c>
      <c r="AD214" s="1917"/>
      <c r="AE214" s="1917"/>
      <c r="AF214" s="1917"/>
      <c r="AG214" s="1901"/>
      <c r="AH214" s="1902"/>
      <c r="AI214" s="1902"/>
      <c r="AJ214" s="1902"/>
      <c r="AK214" s="1903"/>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1912">
        <v>7</v>
      </c>
      <c r="D215" s="1913"/>
      <c r="E215" s="1913"/>
      <c r="F215" s="1913"/>
      <c r="G215" s="1914"/>
      <c r="H215" s="1914"/>
      <c r="I215" s="1914"/>
      <c r="J215" s="1914"/>
      <c r="K215" s="1914"/>
      <c r="L215" s="1914"/>
      <c r="M215" s="1914"/>
      <c r="N215" s="1914"/>
      <c r="O215" s="1914"/>
      <c r="P215" s="1915"/>
      <c r="Q215" s="1915"/>
      <c r="R215" s="1915"/>
      <c r="S215" s="1915"/>
      <c r="T215" s="1915"/>
      <c r="U215" s="1916"/>
      <c r="V215" s="1916"/>
      <c r="W215" s="1916"/>
      <c r="X215" s="1916"/>
      <c r="Y215" s="1916"/>
      <c r="Z215" s="1916"/>
      <c r="AA215" s="1916"/>
      <c r="AB215" s="1916"/>
      <c r="AC215" s="1917" t="s">
        <v>1884</v>
      </c>
      <c r="AD215" s="1917"/>
      <c r="AE215" s="1917"/>
      <c r="AF215" s="1917"/>
      <c r="AG215" s="1901"/>
      <c r="AH215" s="1902"/>
      <c r="AI215" s="1902"/>
      <c r="AJ215" s="1902"/>
      <c r="AK215" s="1903"/>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1904" t="s">
        <v>2294</v>
      </c>
      <c r="D216" s="1905"/>
      <c r="E216" s="1905"/>
      <c r="F216" s="1905"/>
      <c r="G216" s="1905"/>
      <c r="H216" s="1905"/>
      <c r="I216" s="1905"/>
      <c r="J216" s="1905"/>
      <c r="K216" s="1905"/>
      <c r="L216" s="1905"/>
      <c r="M216" s="1905"/>
      <c r="N216" s="1905"/>
      <c r="O216" s="1905"/>
      <c r="P216" s="1906"/>
      <c r="Q216" s="1906"/>
      <c r="R216" s="1906"/>
      <c r="S216" s="1906"/>
      <c r="T216" s="1906"/>
      <c r="U216" s="1907">
        <f>-SUM(U209:U215)</f>
        <v>0</v>
      </c>
      <c r="V216" s="1907"/>
      <c r="W216" s="1907"/>
      <c r="X216" s="1907"/>
      <c r="Y216" s="1907">
        <f>-SUM(Y209:Y215)</f>
        <v>0</v>
      </c>
      <c r="Z216" s="1907"/>
      <c r="AA216" s="1907"/>
      <c r="AB216" s="1907"/>
      <c r="AC216" s="1908">
        <f>-SUM(AC209:AC215)</f>
        <v>0</v>
      </c>
      <c r="AD216" s="1908"/>
      <c r="AE216" s="1908"/>
      <c r="AF216" s="1908"/>
      <c r="AG216" s="1909"/>
      <c r="AH216" s="1910"/>
      <c r="AI216" s="1910"/>
      <c r="AJ216" s="1910"/>
      <c r="AK216" s="1911"/>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2293</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1888" t="s">
        <v>2292</v>
      </c>
      <c r="C221" s="1889"/>
      <c r="D221" s="1889"/>
      <c r="E221" s="1889"/>
      <c r="F221" s="1889"/>
      <c r="G221" s="1889"/>
      <c r="H221" s="1889"/>
      <c r="I221" s="1889"/>
      <c r="J221" s="1889"/>
      <c r="K221" s="1889"/>
      <c r="L221" s="1889"/>
      <c r="M221" s="1889"/>
      <c r="N221" s="1889"/>
      <c r="O221" s="1889"/>
      <c r="P221" s="1889"/>
      <c r="Q221" s="1889"/>
      <c r="R221" s="1889"/>
      <c r="S221" s="1889"/>
      <c r="T221" s="1889"/>
      <c r="U221" s="1889"/>
      <c r="V221" s="1889"/>
      <c r="W221" s="1889"/>
      <c r="X221" s="1889"/>
      <c r="Y221" s="1889"/>
      <c r="Z221" s="1889"/>
      <c r="AA221" s="1889"/>
      <c r="AB221" s="1889"/>
      <c r="AC221" s="1889"/>
      <c r="AD221" s="1889"/>
      <c r="AE221" s="1889"/>
      <c r="AF221" s="1889"/>
      <c r="AG221" s="1889"/>
      <c r="AH221" s="1889"/>
      <c r="AI221" s="1889"/>
      <c r="AJ221" s="1889"/>
      <c r="AK221" s="1889"/>
      <c r="AL221" s="1889"/>
      <c r="AM221" s="1889"/>
      <c r="AN221" s="1889"/>
      <c r="AO221" s="1889"/>
      <c r="AP221" s="1889"/>
      <c r="AQ221" s="1889"/>
      <c r="AR221" s="1889"/>
      <c r="AS221" s="1889"/>
      <c r="AT221" s="1889"/>
      <c r="AU221" s="1889"/>
      <c r="AV221" s="1889"/>
      <c r="AW221" s="1889"/>
      <c r="AX221" s="1889"/>
      <c r="AY221" s="1889"/>
      <c r="AZ221" s="1889"/>
      <c r="BA221" s="1889"/>
      <c r="BB221" s="1889"/>
      <c r="BC221" s="1889"/>
      <c r="BD221" s="1890"/>
      <c r="BE221" s="1194"/>
    </row>
    <row r="222" spans="1:57" ht="15.75" customHeight="1">
      <c r="A222" s="1190"/>
      <c r="B222" s="1891"/>
      <c r="C222" s="1892"/>
      <c r="D222" s="1892"/>
      <c r="E222" s="1892"/>
      <c r="F222" s="1892"/>
      <c r="G222" s="1892"/>
      <c r="H222" s="1892"/>
      <c r="I222" s="1892"/>
      <c r="J222" s="1892"/>
      <c r="K222" s="1892"/>
      <c r="L222" s="1892"/>
      <c r="M222" s="1892"/>
      <c r="N222" s="1892"/>
      <c r="O222" s="1892"/>
      <c r="P222" s="1892"/>
      <c r="Q222" s="1892"/>
      <c r="R222" s="1892"/>
      <c r="S222" s="1892"/>
      <c r="T222" s="1892"/>
      <c r="U222" s="1892"/>
      <c r="V222" s="1892"/>
      <c r="W222" s="1892"/>
      <c r="X222" s="1892"/>
      <c r="Y222" s="1892"/>
      <c r="Z222" s="1892"/>
      <c r="AA222" s="1892"/>
      <c r="AB222" s="1892"/>
      <c r="AC222" s="1892"/>
      <c r="AD222" s="1892"/>
      <c r="AE222" s="1892"/>
      <c r="AF222" s="1892"/>
      <c r="AG222" s="1892"/>
      <c r="AH222" s="1892"/>
      <c r="AI222" s="1892"/>
      <c r="AJ222" s="1892"/>
      <c r="AK222" s="1892"/>
      <c r="AL222" s="1892"/>
      <c r="AM222" s="1892"/>
      <c r="AN222" s="1892"/>
      <c r="AO222" s="1892"/>
      <c r="AP222" s="1892"/>
      <c r="AQ222" s="1892"/>
      <c r="AR222" s="1892"/>
      <c r="AS222" s="1892"/>
      <c r="AT222" s="1892"/>
      <c r="AU222" s="1892"/>
      <c r="AV222" s="1892"/>
      <c r="AW222" s="1892"/>
      <c r="AX222" s="1892"/>
      <c r="AY222" s="1892"/>
      <c r="AZ222" s="1892"/>
      <c r="BA222" s="1892"/>
      <c r="BB222" s="1892"/>
      <c r="BC222" s="1892"/>
      <c r="BD222" s="1893"/>
      <c r="BE222" s="1194"/>
    </row>
    <row r="223" spans="1:57" ht="15.75" customHeight="1">
      <c r="A223" s="1190"/>
      <c r="B223" s="1894" t="s">
        <v>2291</v>
      </c>
      <c r="C223" s="1895"/>
      <c r="D223" s="1895"/>
      <c r="E223" s="1895"/>
      <c r="F223" s="1895"/>
      <c r="G223" s="1895"/>
      <c r="H223" s="1895"/>
      <c r="I223" s="1895"/>
      <c r="J223" s="1895"/>
      <c r="K223" s="1895"/>
      <c r="L223" s="1895"/>
      <c r="M223" s="1895"/>
      <c r="N223" s="1895"/>
      <c r="O223" s="1895"/>
      <c r="P223" s="1895"/>
      <c r="Q223" s="1895"/>
      <c r="R223" s="1895"/>
      <c r="S223" s="1895"/>
      <c r="T223" s="1895"/>
      <c r="U223" s="1895"/>
      <c r="V223" s="1895"/>
      <c r="W223" s="1895"/>
      <c r="X223" s="1895"/>
      <c r="Y223" s="1895"/>
      <c r="Z223" s="1895"/>
      <c r="AA223" s="1895"/>
      <c r="AB223" s="1895"/>
      <c r="AC223" s="1895"/>
      <c r="AD223" s="1895"/>
      <c r="AE223" s="1895"/>
      <c r="AF223" s="1895"/>
      <c r="AG223" s="1895"/>
      <c r="AH223" s="1895"/>
      <c r="AI223" s="1895"/>
      <c r="AJ223" s="1895"/>
      <c r="AK223" s="1895"/>
      <c r="AL223" s="1895"/>
      <c r="AM223" s="1895"/>
      <c r="AN223" s="1895"/>
      <c r="AO223" s="1895"/>
      <c r="AP223" s="1895"/>
      <c r="AQ223" s="1895"/>
      <c r="AR223" s="1895"/>
      <c r="AS223" s="1895"/>
      <c r="AT223" s="1895"/>
      <c r="AU223" s="1895"/>
      <c r="AV223" s="1895"/>
      <c r="AW223" s="1895"/>
      <c r="AX223" s="1895"/>
      <c r="AY223" s="1895"/>
      <c r="AZ223" s="1895"/>
      <c r="BA223" s="1895"/>
      <c r="BB223" s="1895"/>
      <c r="BC223" s="1895"/>
      <c r="BD223" s="1896"/>
      <c r="BE223" s="1194"/>
    </row>
    <row r="224" spans="1:57" ht="15.75" customHeight="1">
      <c r="A224" s="1190"/>
      <c r="B224" s="1894" t="s">
        <v>2290</v>
      </c>
      <c r="C224" s="1895"/>
      <c r="D224" s="1895"/>
      <c r="E224" s="1895"/>
      <c r="F224" s="1895"/>
      <c r="G224" s="1895"/>
      <c r="H224" s="1895"/>
      <c r="I224" s="1895"/>
      <c r="J224" s="1895"/>
      <c r="K224" s="1895"/>
      <c r="L224" s="1895"/>
      <c r="M224" s="1895"/>
      <c r="N224" s="1895"/>
      <c r="O224" s="1895"/>
      <c r="P224" s="1895"/>
      <c r="Q224" s="1895"/>
      <c r="R224" s="1895"/>
      <c r="S224" s="1895"/>
      <c r="T224" s="1895"/>
      <c r="U224" s="1895"/>
      <c r="V224" s="1895"/>
      <c r="W224" s="1895"/>
      <c r="X224" s="1895"/>
      <c r="Y224" s="1895"/>
      <c r="Z224" s="1895"/>
      <c r="AA224" s="1895"/>
      <c r="AB224" s="1895"/>
      <c r="AC224" s="1895"/>
      <c r="AD224" s="1895"/>
      <c r="AE224" s="1895"/>
      <c r="AF224" s="1895"/>
      <c r="AG224" s="1895"/>
      <c r="AH224" s="1895"/>
      <c r="AI224" s="1895"/>
      <c r="AJ224" s="1895"/>
      <c r="AK224" s="1895"/>
      <c r="AL224" s="1895"/>
      <c r="AM224" s="1895"/>
      <c r="AN224" s="1895"/>
      <c r="AO224" s="1895"/>
      <c r="AP224" s="1895"/>
      <c r="AQ224" s="1895"/>
      <c r="AR224" s="1895"/>
      <c r="AS224" s="1895"/>
      <c r="AT224" s="1895"/>
      <c r="AU224" s="1895"/>
      <c r="AV224" s="1895"/>
      <c r="AW224" s="1895"/>
      <c r="AX224" s="1895"/>
      <c r="AY224" s="1895"/>
      <c r="AZ224" s="1895"/>
      <c r="BA224" s="1895"/>
      <c r="BB224" s="1895"/>
      <c r="BC224" s="1895"/>
      <c r="BD224" s="1896"/>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1897" t="s">
        <v>2289</v>
      </c>
      <c r="C226" s="1898"/>
      <c r="D226" s="1898"/>
      <c r="E226" s="1898"/>
      <c r="F226" s="1898"/>
      <c r="G226" s="1898"/>
      <c r="H226" s="1898"/>
      <c r="I226" s="1898"/>
      <c r="J226" s="1898"/>
      <c r="K226" s="1898"/>
      <c r="L226" s="1898"/>
      <c r="M226" s="1898"/>
      <c r="N226" s="1898"/>
      <c r="O226" s="1898"/>
      <c r="P226" s="1898"/>
      <c r="Q226" s="1898"/>
      <c r="R226" s="1898"/>
      <c r="S226" s="1898"/>
      <c r="T226" s="1898"/>
      <c r="U226" s="1898"/>
      <c r="V226" s="1898"/>
      <c r="W226" s="1898"/>
      <c r="X226" s="1898"/>
      <c r="Y226" s="1898"/>
      <c r="Z226" s="1898"/>
      <c r="AA226" s="1898"/>
      <c r="AB226" s="1898"/>
      <c r="AC226" s="1898"/>
      <c r="AD226" s="1898"/>
      <c r="AE226" s="1898"/>
      <c r="AF226" s="1898"/>
      <c r="AG226" s="1898"/>
      <c r="AH226" s="1898"/>
      <c r="AI226" s="1898"/>
      <c r="AJ226" s="1898"/>
      <c r="AK226" s="1898"/>
      <c r="AL226" s="1898"/>
      <c r="AM226" s="1898"/>
      <c r="AN226" s="1898"/>
      <c r="AO226" s="1898"/>
      <c r="AP226" s="1898"/>
      <c r="AQ226" s="1898"/>
      <c r="AR226" s="1898"/>
      <c r="AS226" s="1898"/>
      <c r="AT226" s="1898"/>
      <c r="AU226" s="1898"/>
      <c r="AV226" s="1898"/>
      <c r="AW226" s="1898"/>
      <c r="AX226" s="1898"/>
      <c r="AY226" s="1898"/>
      <c r="AZ226" s="1898"/>
      <c r="BA226" s="1898"/>
      <c r="BB226" s="1898"/>
      <c r="BC226" s="1898"/>
      <c r="BD226" s="1899"/>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2288</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1900" t="s">
        <v>2287</v>
      </c>
      <c r="I230" s="1900"/>
      <c r="J230" s="1900"/>
      <c r="K230" s="1900"/>
      <c r="L230" s="1900"/>
      <c r="M230" s="1900"/>
      <c r="N230" s="1900"/>
      <c r="O230" s="1900"/>
      <c r="P230" s="1900"/>
      <c r="Q230" s="1900"/>
      <c r="R230" s="1900"/>
      <c r="S230" s="1900"/>
      <c r="T230" s="1900"/>
      <c r="U230" s="1900"/>
      <c r="V230" s="1900"/>
      <c r="W230" s="1900"/>
      <c r="X230" s="1900"/>
      <c r="Y230" s="1900"/>
      <c r="Z230" s="1900"/>
      <c r="AA230" s="1900"/>
      <c r="AB230" s="1900"/>
      <c r="AC230" s="1900"/>
      <c r="AD230" s="1900"/>
      <c r="AE230" s="1900"/>
      <c r="AF230" s="1900"/>
      <c r="AG230" s="1900"/>
      <c r="AH230" s="1900"/>
      <c r="AI230" s="1900"/>
      <c r="AJ230" s="1900"/>
      <c r="AK230" s="1900"/>
      <c r="AL230" s="1900"/>
      <c r="AM230" s="1900"/>
      <c r="AN230" s="1900"/>
      <c r="AO230" s="1900"/>
      <c r="AP230" s="1900"/>
      <c r="AQ230" s="1900"/>
      <c r="AR230" s="1900"/>
      <c r="AS230" s="1900"/>
      <c r="AT230" s="1900"/>
      <c r="AU230" s="1900"/>
      <c r="AV230" s="1900"/>
      <c r="AW230" s="1900"/>
      <c r="AX230" s="1900"/>
      <c r="AY230" s="1900"/>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1883" t="s">
        <v>2286</v>
      </c>
      <c r="I232" s="1883"/>
      <c r="J232" s="1883"/>
      <c r="K232" s="1883"/>
      <c r="L232" s="1883"/>
      <c r="M232" s="1883"/>
      <c r="N232" s="1883"/>
      <c r="O232" s="1883"/>
      <c r="P232" s="1883"/>
      <c r="Q232" s="1883"/>
      <c r="R232" s="1883"/>
      <c r="S232" s="1883"/>
      <c r="T232" s="1883"/>
      <c r="U232" s="1883"/>
      <c r="V232" s="1883"/>
      <c r="W232" s="1883"/>
      <c r="X232" s="1883"/>
      <c r="Y232" s="1883"/>
      <c r="Z232" s="1883"/>
      <c r="AA232" s="1883"/>
      <c r="AB232" s="1883"/>
      <c r="AC232" s="1883"/>
      <c r="AD232" s="1883"/>
      <c r="AE232" s="1883"/>
      <c r="AF232" s="1883"/>
      <c r="AG232" s="1883"/>
      <c r="AH232" s="1883"/>
      <c r="AI232" s="1883"/>
      <c r="AJ232" s="1883"/>
      <c r="AK232" s="1883"/>
      <c r="AL232" s="1883"/>
      <c r="AM232" s="1883"/>
      <c r="AN232" s="1883"/>
      <c r="AO232" s="1883"/>
      <c r="AP232" s="1883"/>
      <c r="AQ232" s="1883"/>
      <c r="AR232" s="1883"/>
      <c r="AS232" s="1883"/>
      <c r="AT232" s="1883"/>
      <c r="AU232" s="1883"/>
      <c r="AV232" s="1883"/>
      <c r="AW232" s="1883"/>
      <c r="AX232" s="1883"/>
      <c r="AY232" s="1883"/>
      <c r="AZ232" s="1883"/>
      <c r="BA232" s="1190"/>
      <c r="BB232" s="1190"/>
      <c r="BC232" s="1190"/>
      <c r="BD232" s="1194"/>
      <c r="BE232" s="1194"/>
    </row>
    <row r="233" spans="1:57" ht="15.75" customHeight="1">
      <c r="A233" s="1190"/>
      <c r="B233" s="1189"/>
      <c r="C233" s="1190"/>
      <c r="D233" s="1190"/>
      <c r="E233" s="1190"/>
      <c r="F233" s="1190"/>
      <c r="G233" s="1190"/>
      <c r="H233" s="1883"/>
      <c r="I233" s="1883"/>
      <c r="J233" s="1883"/>
      <c r="K233" s="1883"/>
      <c r="L233" s="1883"/>
      <c r="M233" s="1883"/>
      <c r="N233" s="1883"/>
      <c r="O233" s="1883"/>
      <c r="P233" s="1883"/>
      <c r="Q233" s="1883"/>
      <c r="R233" s="1883"/>
      <c r="S233" s="1883"/>
      <c r="T233" s="1883"/>
      <c r="U233" s="1883"/>
      <c r="V233" s="1883"/>
      <c r="W233" s="1883"/>
      <c r="X233" s="1883"/>
      <c r="Y233" s="1883"/>
      <c r="Z233" s="1883"/>
      <c r="AA233" s="1883"/>
      <c r="AB233" s="1883"/>
      <c r="AC233" s="1883"/>
      <c r="AD233" s="1883"/>
      <c r="AE233" s="1883"/>
      <c r="AF233" s="1883"/>
      <c r="AG233" s="1883"/>
      <c r="AH233" s="1883"/>
      <c r="AI233" s="1883"/>
      <c r="AJ233" s="1883"/>
      <c r="AK233" s="1883"/>
      <c r="AL233" s="1883"/>
      <c r="AM233" s="1883"/>
      <c r="AN233" s="1883"/>
      <c r="AO233" s="1883"/>
      <c r="AP233" s="1883"/>
      <c r="AQ233" s="1883"/>
      <c r="AR233" s="1883"/>
      <c r="AS233" s="1883"/>
      <c r="AT233" s="1883"/>
      <c r="AU233" s="1883"/>
      <c r="AV233" s="1883"/>
      <c r="AW233" s="1883"/>
      <c r="AX233" s="1883"/>
      <c r="AY233" s="1883"/>
      <c r="AZ233" s="1883"/>
      <c r="BA233" s="1190"/>
      <c r="BB233" s="1190"/>
      <c r="BC233" s="1190"/>
      <c r="BD233" s="1194"/>
      <c r="BE233" s="1194"/>
    </row>
    <row r="234" spans="1:57" ht="15.75" customHeight="1">
      <c r="A234" s="1190"/>
      <c r="B234" s="1189"/>
      <c r="C234" s="1190"/>
      <c r="D234" s="1190"/>
      <c r="E234" s="1190"/>
      <c r="F234" s="1190"/>
      <c r="G234" s="1190"/>
      <c r="H234" s="1883"/>
      <c r="I234" s="1883"/>
      <c r="J234" s="1883"/>
      <c r="K234" s="1883"/>
      <c r="L234" s="1883"/>
      <c r="M234" s="1883"/>
      <c r="N234" s="1883"/>
      <c r="O234" s="1883"/>
      <c r="P234" s="1883"/>
      <c r="Q234" s="1883"/>
      <c r="R234" s="1883"/>
      <c r="S234" s="1883"/>
      <c r="T234" s="1883"/>
      <c r="U234" s="1883"/>
      <c r="V234" s="1883"/>
      <c r="W234" s="1883"/>
      <c r="X234" s="1883"/>
      <c r="Y234" s="1883"/>
      <c r="Z234" s="1883"/>
      <c r="AA234" s="1883"/>
      <c r="AB234" s="1883"/>
      <c r="AC234" s="1883"/>
      <c r="AD234" s="1883"/>
      <c r="AE234" s="1883"/>
      <c r="AF234" s="1883"/>
      <c r="AG234" s="1883"/>
      <c r="AH234" s="1883"/>
      <c r="AI234" s="1883"/>
      <c r="AJ234" s="1883"/>
      <c r="AK234" s="1883"/>
      <c r="AL234" s="1883"/>
      <c r="AM234" s="1883"/>
      <c r="AN234" s="1883"/>
      <c r="AO234" s="1883"/>
      <c r="AP234" s="1883"/>
      <c r="AQ234" s="1883"/>
      <c r="AR234" s="1883"/>
      <c r="AS234" s="1883"/>
      <c r="AT234" s="1883"/>
      <c r="AU234" s="1883"/>
      <c r="AV234" s="1883"/>
      <c r="AW234" s="1883"/>
      <c r="AX234" s="1883"/>
      <c r="AY234" s="1883"/>
      <c r="AZ234" s="1883"/>
      <c r="BA234" s="1190"/>
      <c r="BB234" s="1190"/>
      <c r="BC234" s="1190"/>
      <c r="BD234" s="1194"/>
      <c r="BE234" s="1194"/>
    </row>
    <row r="235" spans="1:57" ht="15.75" customHeight="1">
      <c r="A235" s="1190"/>
      <c r="B235" s="1189"/>
      <c r="C235" s="1190"/>
      <c r="D235" s="1190"/>
      <c r="E235" s="1190"/>
      <c r="F235" s="1190"/>
      <c r="G235" s="1190"/>
      <c r="H235" s="1883"/>
      <c r="I235" s="1883"/>
      <c r="J235" s="1883"/>
      <c r="K235" s="1883"/>
      <c r="L235" s="1883"/>
      <c r="M235" s="1883"/>
      <c r="N235" s="1883"/>
      <c r="O235" s="1883"/>
      <c r="P235" s="1883"/>
      <c r="Q235" s="1883"/>
      <c r="R235" s="1883"/>
      <c r="S235" s="1883"/>
      <c r="T235" s="1883"/>
      <c r="U235" s="1883"/>
      <c r="V235" s="1883"/>
      <c r="W235" s="1883"/>
      <c r="X235" s="1883"/>
      <c r="Y235" s="1883"/>
      <c r="Z235" s="1883"/>
      <c r="AA235" s="1883"/>
      <c r="AB235" s="1883"/>
      <c r="AC235" s="1883"/>
      <c r="AD235" s="1883"/>
      <c r="AE235" s="1883"/>
      <c r="AF235" s="1883"/>
      <c r="AG235" s="1883"/>
      <c r="AH235" s="1883"/>
      <c r="AI235" s="1883"/>
      <c r="AJ235" s="1883"/>
      <c r="AK235" s="1883"/>
      <c r="AL235" s="1883"/>
      <c r="AM235" s="1883"/>
      <c r="AN235" s="1883"/>
      <c r="AO235" s="1883"/>
      <c r="AP235" s="1883"/>
      <c r="AQ235" s="1883"/>
      <c r="AR235" s="1883"/>
      <c r="AS235" s="1883"/>
      <c r="AT235" s="1883"/>
      <c r="AU235" s="1883"/>
      <c r="AV235" s="1883"/>
      <c r="AW235" s="1883"/>
      <c r="AX235" s="1883"/>
      <c r="AY235" s="1883"/>
      <c r="AZ235" s="1883"/>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1884" t="s">
        <v>2285</v>
      </c>
      <c r="I237" s="1884"/>
      <c r="J237" s="1884"/>
      <c r="K237" s="1884"/>
      <c r="L237" s="1884"/>
      <c r="M237" s="1884"/>
      <c r="N237" s="1884"/>
      <c r="O237" s="1884"/>
      <c r="P237" s="1884"/>
      <c r="Q237" s="1884"/>
      <c r="R237" s="1884"/>
      <c r="S237" s="1884"/>
      <c r="T237" s="1884"/>
      <c r="U237" s="1884"/>
      <c r="V237" s="1884"/>
      <c r="W237" s="1884"/>
      <c r="X237" s="1884"/>
      <c r="Y237" s="1884"/>
      <c r="Z237" s="1884"/>
      <c r="AA237" s="1884"/>
      <c r="AB237" s="1884"/>
      <c r="AC237" s="1884"/>
      <c r="AD237" s="1884"/>
      <c r="AE237" s="1884"/>
      <c r="AF237" s="1884"/>
      <c r="AG237" s="1884"/>
      <c r="AH237" s="1884"/>
      <c r="AI237" s="1884"/>
      <c r="AJ237" s="1884"/>
      <c r="AK237" s="1884"/>
      <c r="AL237" s="1884"/>
      <c r="AM237" s="1884"/>
      <c r="AN237" s="1884"/>
      <c r="AO237" s="1884"/>
      <c r="AP237" s="1884"/>
      <c r="AQ237" s="1884"/>
      <c r="AR237" s="1884"/>
      <c r="AS237" s="1884"/>
      <c r="AT237" s="1884"/>
      <c r="AU237" s="1884"/>
      <c r="AV237" s="1884"/>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1874" t="s">
        <v>2284</v>
      </c>
      <c r="I239" s="1874"/>
      <c r="J239" s="1874"/>
      <c r="K239" s="1874"/>
      <c r="L239" s="1239"/>
      <c r="M239" s="1239"/>
      <c r="N239" s="1239"/>
      <c r="O239" s="1239"/>
      <c r="P239" s="1239"/>
      <c r="Q239" s="1239"/>
      <c r="R239" s="1239"/>
      <c r="S239" s="1885"/>
      <c r="T239" s="1886"/>
      <c r="U239" s="1886"/>
      <c r="V239" s="1886"/>
      <c r="W239" s="1886"/>
      <c r="X239" s="1886"/>
      <c r="Y239" s="1886"/>
      <c r="Z239" s="1886"/>
      <c r="AA239" s="1886"/>
      <c r="AB239" s="1886"/>
      <c r="AC239" s="1886"/>
      <c r="AD239" s="1886"/>
      <c r="AE239" s="1886"/>
      <c r="AF239" s="1886"/>
      <c r="AG239" s="1886"/>
      <c r="AH239" s="1886"/>
      <c r="AI239" s="1886"/>
      <c r="AJ239" s="1887"/>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1874" t="s">
        <v>2283</v>
      </c>
      <c r="I241" s="1874"/>
      <c r="J241" s="1874"/>
      <c r="K241" s="1241"/>
      <c r="L241" s="1239"/>
      <c r="M241" s="1239"/>
      <c r="N241" s="1239"/>
      <c r="O241" s="1239"/>
      <c r="P241" s="1239"/>
      <c r="Q241" s="1239"/>
      <c r="R241" s="1239"/>
      <c r="S241" s="1875"/>
      <c r="T241" s="1876"/>
      <c r="U241" s="1876"/>
      <c r="V241" s="1876"/>
      <c r="W241" s="1876"/>
      <c r="X241" s="1876"/>
      <c r="Y241" s="1876"/>
      <c r="Z241" s="1876"/>
      <c r="AA241" s="1876"/>
      <c r="AB241" s="1876"/>
      <c r="AC241" s="1876"/>
      <c r="AD241" s="1876"/>
      <c r="AE241" s="1876"/>
      <c r="AF241" s="1876"/>
      <c r="AG241" s="1876"/>
      <c r="AH241" s="1876"/>
      <c r="AI241" s="1876"/>
      <c r="AJ241" s="1877"/>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1874" t="s">
        <v>441</v>
      </c>
      <c r="I243" s="1874"/>
      <c r="J243" s="1241"/>
      <c r="K243" s="1241"/>
      <c r="L243" s="1239"/>
      <c r="M243" s="1239"/>
      <c r="N243" s="1239"/>
      <c r="O243" s="1239"/>
      <c r="P243" s="1239"/>
      <c r="Q243" s="1239"/>
      <c r="R243" s="1239"/>
      <c r="S243" s="1875"/>
      <c r="T243" s="1876"/>
      <c r="U243" s="1876"/>
      <c r="V243" s="1876"/>
      <c r="W243" s="1876"/>
      <c r="X243" s="1876"/>
      <c r="Y243" s="1876"/>
      <c r="Z243" s="1876"/>
      <c r="AA243" s="1876"/>
      <c r="AB243" s="1876"/>
      <c r="AC243" s="1876"/>
      <c r="AD243" s="1876"/>
      <c r="AE243" s="1876"/>
      <c r="AF243" s="1876"/>
      <c r="AG243" s="1876"/>
      <c r="AH243" s="1876"/>
      <c r="AI243" s="1876"/>
      <c r="AJ243" s="1877"/>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1878" t="s">
        <v>2282</v>
      </c>
      <c r="I245" s="1878"/>
      <c r="J245" s="1878"/>
      <c r="K245" s="1878"/>
      <c r="L245" s="1878"/>
      <c r="M245" s="1878"/>
      <c r="N245" s="1878"/>
      <c r="O245" s="1878"/>
      <c r="P245" s="1239"/>
      <c r="Q245" s="1239"/>
      <c r="R245" s="1239"/>
      <c r="S245" s="1875"/>
      <c r="T245" s="1876"/>
      <c r="U245" s="1876"/>
      <c r="V245" s="1876"/>
      <c r="W245" s="1876"/>
      <c r="X245" s="1876"/>
      <c r="Y245" s="1876"/>
      <c r="Z245" s="1876"/>
      <c r="AA245" s="1876"/>
      <c r="AB245" s="1876"/>
      <c r="AC245" s="1876"/>
      <c r="AD245" s="1876"/>
      <c r="AE245" s="1876"/>
      <c r="AF245" s="1876"/>
      <c r="AG245" s="1876"/>
      <c r="AH245" s="1876"/>
      <c r="AI245" s="1876"/>
      <c r="AJ245" s="1877"/>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1879" t="s">
        <v>2281</v>
      </c>
      <c r="I247" s="1879"/>
      <c r="J247" s="1239"/>
      <c r="K247" s="1239"/>
      <c r="L247" s="1239"/>
      <c r="M247" s="1239"/>
      <c r="N247" s="1239"/>
      <c r="O247" s="1239"/>
      <c r="P247" s="1239"/>
      <c r="Q247" s="1239"/>
      <c r="R247" s="1239"/>
      <c r="S247" s="1880"/>
      <c r="T247" s="1881"/>
      <c r="U247" s="1881"/>
      <c r="V247" s="1881"/>
      <c r="W247" s="1881"/>
      <c r="X247" s="1881"/>
      <c r="Y247" s="1881"/>
      <c r="Z247" s="1881"/>
      <c r="AA247" s="1881"/>
      <c r="AB247" s="1881"/>
      <c r="AC247" s="1881"/>
      <c r="AD247" s="1881"/>
      <c r="AE247" s="1881"/>
      <c r="AF247" s="1881"/>
      <c r="AG247" s="1881"/>
      <c r="AH247" s="1881"/>
      <c r="AI247" s="1881"/>
      <c r="AJ247" s="1882"/>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249</v>
      </c>
    </row>
  </sheetData>
  <sheetProtection algorithmName="SHA-512" hashValue="RpmYkaNc8PD84NpwKRC+jXGRBdvsbDNxt4Qh2FfU6vyxUfHJC3EvcMw2g2Xq7S/DFQ30Qyq9J6zQlWqQI7AuMg==" saltValue="lRwLnXnxdmen0JFlNYlZSw==" spinCount="100000" sheet="1" objects="1" scenarios="1"/>
  <mergeCells count="70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50:AO50"/>
    <mergeCell ref="B51:I51"/>
    <mergeCell ref="J51:Q51"/>
    <mergeCell ref="R51:Y51"/>
    <mergeCell ref="Z51:AG51"/>
    <mergeCell ref="AH51:AO51"/>
    <mergeCell ref="Z47:AC47"/>
    <mergeCell ref="AD47:AG47"/>
    <mergeCell ref="AH47:AK47"/>
    <mergeCell ref="AL47:AO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AV68:BC68"/>
    <mergeCell ref="B69:N69"/>
    <mergeCell ref="O69:AA69"/>
    <mergeCell ref="AC69:AU69"/>
    <mergeCell ref="AV69:BC69"/>
    <mergeCell ref="B62:I62"/>
    <mergeCell ref="J62:AW62"/>
    <mergeCell ref="B63:I63"/>
    <mergeCell ref="J63:AW63"/>
    <mergeCell ref="B64:I64"/>
    <mergeCell ref="J64:AW64"/>
    <mergeCell ref="B70:N70"/>
    <mergeCell ref="O70:AA70"/>
    <mergeCell ref="AC70:AE70"/>
    <mergeCell ref="AF70:AU70"/>
    <mergeCell ref="B71:N71"/>
    <mergeCell ref="O71:AA71"/>
    <mergeCell ref="AC71:AE71"/>
    <mergeCell ref="AF71:AU71"/>
    <mergeCell ref="B68:AA68"/>
    <mergeCell ref="AC68:AU68"/>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92:T92"/>
    <mergeCell ref="B93:Q93"/>
    <mergeCell ref="R93:T93"/>
    <mergeCell ref="B94:Q94"/>
    <mergeCell ref="R94:T94"/>
    <mergeCell ref="B96:AH96"/>
    <mergeCell ref="AJ87:BB88"/>
    <mergeCell ref="B88:H88"/>
    <mergeCell ref="I88:N88"/>
    <mergeCell ref="O88:U88"/>
    <mergeCell ref="V88:AA88"/>
    <mergeCell ref="AB88:AH88"/>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9:E169"/>
    <mergeCell ref="F169:P169"/>
    <mergeCell ref="Q169:S169"/>
    <mergeCell ref="T169:AA169"/>
    <mergeCell ref="AB169:AG169"/>
    <mergeCell ref="C170:E170"/>
    <mergeCell ref="F170:P170"/>
    <mergeCell ref="Q170:S170"/>
    <mergeCell ref="T170:AA170"/>
    <mergeCell ref="AB170:AG170"/>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U189:AE189"/>
    <mergeCell ref="AH189:BE189"/>
    <mergeCell ref="C190:M190"/>
    <mergeCell ref="N190:T190"/>
    <mergeCell ref="U190:AE190"/>
    <mergeCell ref="AH190:AT190"/>
    <mergeCell ref="AU190:BB190"/>
    <mergeCell ref="BC190:BE190"/>
    <mergeCell ref="BC192:BE192"/>
    <mergeCell ref="C193:D193"/>
    <mergeCell ref="E193:M193"/>
    <mergeCell ref="N193:T193"/>
    <mergeCell ref="U193:AE193"/>
    <mergeCell ref="BC193:BE193"/>
    <mergeCell ref="C192:D192"/>
    <mergeCell ref="E192:M192"/>
    <mergeCell ref="N192:T192"/>
    <mergeCell ref="U192:AE192"/>
    <mergeCell ref="AH192:AT192"/>
    <mergeCell ref="AU192:BB192"/>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204:AE204"/>
    <mergeCell ref="C206:AK206"/>
    <mergeCell ref="C207:F208"/>
    <mergeCell ref="G207:O208"/>
    <mergeCell ref="P207:T208"/>
    <mergeCell ref="U207:X208"/>
    <mergeCell ref="Y207:AB208"/>
    <mergeCell ref="AC207:AF208"/>
    <mergeCell ref="AG207:AK208"/>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0"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34" workbookViewId="0">
      <selection activeCell="AB51" sqref="AB51"/>
    </sheetView>
  </sheetViews>
  <sheetFormatPr defaultColWidth="0" defaultRowHeight="12.95" customHeight="1"/>
  <cols>
    <col min="1" max="1" width="1.5703125" style="402" customWidth="1"/>
    <col min="2" max="2" width="0.85546875" style="402" customWidth="1"/>
    <col min="3" max="18" width="2.5703125" style="402" customWidth="1"/>
    <col min="19" max="19" width="6.28515625" style="402" customWidth="1"/>
    <col min="20" max="39" width="2.7109375" style="402" customWidth="1"/>
    <col min="40" max="40" width="1.5703125" style="402" customWidth="1"/>
    <col min="41" max="256" width="2.5703125" style="402" hidden="1"/>
    <col min="257" max="257" width="1.5703125" style="402" hidden="1" customWidth="1"/>
    <col min="258" max="258" width="0.85546875" style="402" hidden="1" customWidth="1"/>
    <col min="259" max="274" width="2.5703125" style="402" hidden="1" customWidth="1"/>
    <col min="275" max="275" width="4" style="402" hidden="1" customWidth="1"/>
    <col min="276" max="279" width="2.5703125" style="402" hidden="1" customWidth="1"/>
    <col min="280" max="280" width="2.42578125" style="402" hidden="1" customWidth="1"/>
    <col min="281" max="284" width="2.5703125" style="402" hidden="1" customWidth="1"/>
    <col min="285" max="285" width="2.42578125" style="402" hidden="1" customWidth="1"/>
    <col min="286" max="289" width="2.5703125" style="402" hidden="1" customWidth="1"/>
    <col min="290" max="295" width="2.42578125" style="402" hidden="1" customWidth="1"/>
    <col min="296" max="296" width="1.5703125" style="402" hidden="1" customWidth="1"/>
    <col min="297" max="512" width="2.5703125" style="402" hidden="1"/>
    <col min="513" max="513" width="1.5703125" style="402" hidden="1" customWidth="1"/>
    <col min="514" max="514" width="0.85546875" style="402" hidden="1" customWidth="1"/>
    <col min="515" max="530" width="2.5703125" style="402" hidden="1" customWidth="1"/>
    <col min="531" max="531" width="4" style="402" hidden="1" customWidth="1"/>
    <col min="532" max="535" width="2.5703125" style="402" hidden="1" customWidth="1"/>
    <col min="536" max="536" width="2.42578125" style="402" hidden="1" customWidth="1"/>
    <col min="537" max="540" width="2.5703125" style="402" hidden="1" customWidth="1"/>
    <col min="541" max="541" width="2.42578125" style="402" hidden="1" customWidth="1"/>
    <col min="542" max="545" width="2.5703125" style="402" hidden="1" customWidth="1"/>
    <col min="546" max="551" width="2.42578125" style="402" hidden="1" customWidth="1"/>
    <col min="552" max="552" width="1.5703125" style="402" hidden="1" customWidth="1"/>
    <col min="553" max="768" width="2.5703125" style="402" hidden="1"/>
    <col min="769" max="769" width="1.5703125" style="402" hidden="1" customWidth="1"/>
    <col min="770" max="770" width="0.85546875" style="402" hidden="1" customWidth="1"/>
    <col min="771" max="786" width="2.5703125" style="402" hidden="1" customWidth="1"/>
    <col min="787" max="787" width="4" style="402" hidden="1" customWidth="1"/>
    <col min="788" max="791" width="2.5703125" style="402" hidden="1" customWidth="1"/>
    <col min="792" max="792" width="2.42578125" style="402" hidden="1" customWidth="1"/>
    <col min="793" max="796" width="2.5703125" style="402" hidden="1" customWidth="1"/>
    <col min="797" max="797" width="2.42578125" style="402" hidden="1" customWidth="1"/>
    <col min="798" max="801" width="2.5703125" style="402" hidden="1" customWidth="1"/>
    <col min="802" max="807" width="2.42578125" style="402" hidden="1" customWidth="1"/>
    <col min="808" max="808" width="1.5703125" style="402" hidden="1" customWidth="1"/>
    <col min="809" max="1024" width="2.5703125" style="402" hidden="1"/>
    <col min="1025" max="1025" width="1.5703125" style="402" hidden="1" customWidth="1"/>
    <col min="1026" max="1026" width="0.85546875" style="402" hidden="1" customWidth="1"/>
    <col min="1027" max="1042" width="2.5703125" style="402" hidden="1" customWidth="1"/>
    <col min="1043" max="1043" width="4" style="402" hidden="1" customWidth="1"/>
    <col min="1044" max="1047" width="2.5703125" style="402" hidden="1" customWidth="1"/>
    <col min="1048" max="1048" width="2.42578125" style="402" hidden="1" customWidth="1"/>
    <col min="1049" max="1052" width="2.5703125" style="402" hidden="1" customWidth="1"/>
    <col min="1053" max="1053" width="2.42578125" style="402" hidden="1" customWidth="1"/>
    <col min="1054" max="1057" width="2.5703125" style="402" hidden="1" customWidth="1"/>
    <col min="1058" max="1063" width="2.42578125" style="402" hidden="1" customWidth="1"/>
    <col min="1064" max="1064" width="1.5703125" style="402" hidden="1" customWidth="1"/>
    <col min="1065" max="1280" width="2.5703125" style="402" hidden="1"/>
    <col min="1281" max="1281" width="1.5703125" style="402" hidden="1" customWidth="1"/>
    <col min="1282" max="1282" width="0.85546875" style="402" hidden="1" customWidth="1"/>
    <col min="1283" max="1298" width="2.5703125" style="402" hidden="1" customWidth="1"/>
    <col min="1299" max="1299" width="4" style="402" hidden="1" customWidth="1"/>
    <col min="1300" max="1303" width="2.5703125" style="402" hidden="1" customWidth="1"/>
    <col min="1304" max="1304" width="2.42578125" style="402" hidden="1" customWidth="1"/>
    <col min="1305" max="1308" width="2.5703125" style="402" hidden="1" customWidth="1"/>
    <col min="1309" max="1309" width="2.42578125" style="402" hidden="1" customWidth="1"/>
    <col min="1310" max="1313" width="2.5703125" style="402" hidden="1" customWidth="1"/>
    <col min="1314" max="1319" width="2.42578125" style="402" hidden="1" customWidth="1"/>
    <col min="1320" max="1320" width="1.5703125" style="402" hidden="1" customWidth="1"/>
    <col min="1321" max="1536" width="2.5703125" style="402" hidden="1"/>
    <col min="1537" max="1537" width="1.5703125" style="402" hidden="1" customWidth="1"/>
    <col min="1538" max="1538" width="0.85546875" style="402" hidden="1" customWidth="1"/>
    <col min="1539" max="1554" width="2.5703125" style="402" hidden="1" customWidth="1"/>
    <col min="1555" max="1555" width="4" style="402" hidden="1" customWidth="1"/>
    <col min="1556" max="1559" width="2.5703125" style="402" hidden="1" customWidth="1"/>
    <col min="1560" max="1560" width="2.42578125" style="402" hidden="1" customWidth="1"/>
    <col min="1561" max="1564" width="2.5703125" style="402" hidden="1" customWidth="1"/>
    <col min="1565" max="1565" width="2.42578125" style="402" hidden="1" customWidth="1"/>
    <col min="1566" max="1569" width="2.5703125" style="402" hidden="1" customWidth="1"/>
    <col min="1570" max="1575" width="2.42578125" style="402" hidden="1" customWidth="1"/>
    <col min="1576" max="1576" width="1.5703125" style="402" hidden="1" customWidth="1"/>
    <col min="1577" max="1792" width="2.5703125" style="402" hidden="1"/>
    <col min="1793" max="1793" width="1.5703125" style="402" hidden="1" customWidth="1"/>
    <col min="1794" max="1794" width="0.85546875" style="402" hidden="1" customWidth="1"/>
    <col min="1795" max="1810" width="2.5703125" style="402" hidden="1" customWidth="1"/>
    <col min="1811" max="1811" width="4" style="402" hidden="1" customWidth="1"/>
    <col min="1812" max="1815" width="2.5703125" style="402" hidden="1" customWidth="1"/>
    <col min="1816" max="1816" width="2.42578125" style="402" hidden="1" customWidth="1"/>
    <col min="1817" max="1820" width="2.5703125" style="402" hidden="1" customWidth="1"/>
    <col min="1821" max="1821" width="2.42578125" style="402" hidden="1" customWidth="1"/>
    <col min="1822" max="1825" width="2.5703125" style="402" hidden="1" customWidth="1"/>
    <col min="1826" max="1831" width="2.42578125" style="402" hidden="1" customWidth="1"/>
    <col min="1832" max="1832" width="1.5703125" style="402" hidden="1" customWidth="1"/>
    <col min="1833" max="2048" width="2.5703125" style="402" hidden="1"/>
    <col min="2049" max="2049" width="1.5703125" style="402" hidden="1" customWidth="1"/>
    <col min="2050" max="2050" width="0.85546875" style="402" hidden="1" customWidth="1"/>
    <col min="2051" max="2066" width="2.5703125" style="402" hidden="1" customWidth="1"/>
    <col min="2067" max="2067" width="4" style="402" hidden="1" customWidth="1"/>
    <col min="2068" max="2071" width="2.5703125" style="402" hidden="1" customWidth="1"/>
    <col min="2072" max="2072" width="2.42578125" style="402" hidden="1" customWidth="1"/>
    <col min="2073" max="2076" width="2.5703125" style="402" hidden="1" customWidth="1"/>
    <col min="2077" max="2077" width="2.42578125" style="402" hidden="1" customWidth="1"/>
    <col min="2078" max="2081" width="2.5703125" style="402" hidden="1" customWidth="1"/>
    <col min="2082" max="2087" width="2.42578125" style="402" hidden="1" customWidth="1"/>
    <col min="2088" max="2088" width="1.5703125" style="402" hidden="1" customWidth="1"/>
    <col min="2089" max="2304" width="2.5703125" style="402" hidden="1"/>
    <col min="2305" max="2305" width="1.5703125" style="402" hidden="1" customWidth="1"/>
    <col min="2306" max="2306" width="0.85546875" style="402" hidden="1" customWidth="1"/>
    <col min="2307" max="2322" width="2.5703125" style="402" hidden="1" customWidth="1"/>
    <col min="2323" max="2323" width="4" style="402" hidden="1" customWidth="1"/>
    <col min="2324" max="2327" width="2.5703125" style="402" hidden="1" customWidth="1"/>
    <col min="2328" max="2328" width="2.42578125" style="402" hidden="1" customWidth="1"/>
    <col min="2329" max="2332" width="2.5703125" style="402" hidden="1" customWidth="1"/>
    <col min="2333" max="2333" width="2.42578125" style="402" hidden="1" customWidth="1"/>
    <col min="2334" max="2337" width="2.5703125" style="402" hidden="1" customWidth="1"/>
    <col min="2338" max="2343" width="2.42578125" style="402" hidden="1" customWidth="1"/>
    <col min="2344" max="2344" width="1.5703125" style="402" hidden="1" customWidth="1"/>
    <col min="2345" max="2560" width="2.5703125" style="402" hidden="1"/>
    <col min="2561" max="2561" width="1.5703125" style="402" hidden="1" customWidth="1"/>
    <col min="2562" max="2562" width="0.85546875" style="402" hidden="1" customWidth="1"/>
    <col min="2563" max="2578" width="2.5703125" style="402" hidden="1" customWidth="1"/>
    <col min="2579" max="2579" width="4" style="402" hidden="1" customWidth="1"/>
    <col min="2580" max="2583" width="2.5703125" style="402" hidden="1" customWidth="1"/>
    <col min="2584" max="2584" width="2.42578125" style="402" hidden="1" customWidth="1"/>
    <col min="2585" max="2588" width="2.5703125" style="402" hidden="1" customWidth="1"/>
    <col min="2589" max="2589" width="2.42578125" style="402" hidden="1" customWidth="1"/>
    <col min="2590" max="2593" width="2.5703125" style="402" hidden="1" customWidth="1"/>
    <col min="2594" max="2599" width="2.42578125" style="402" hidden="1" customWidth="1"/>
    <col min="2600" max="2600" width="1.5703125" style="402" hidden="1" customWidth="1"/>
    <col min="2601" max="2816" width="2.5703125" style="402" hidden="1"/>
    <col min="2817" max="2817" width="1.5703125" style="402" hidden="1" customWidth="1"/>
    <col min="2818" max="2818" width="0.85546875" style="402" hidden="1" customWidth="1"/>
    <col min="2819" max="2834" width="2.5703125" style="402" hidden="1" customWidth="1"/>
    <col min="2835" max="2835" width="4" style="402" hidden="1" customWidth="1"/>
    <col min="2836" max="2839" width="2.5703125" style="402" hidden="1" customWidth="1"/>
    <col min="2840" max="2840" width="2.42578125" style="402" hidden="1" customWidth="1"/>
    <col min="2841" max="2844" width="2.5703125" style="402" hidden="1" customWidth="1"/>
    <col min="2845" max="2845" width="2.42578125" style="402" hidden="1" customWidth="1"/>
    <col min="2846" max="2849" width="2.5703125" style="402" hidden="1" customWidth="1"/>
    <col min="2850" max="2855" width="2.42578125" style="402" hidden="1" customWidth="1"/>
    <col min="2856" max="2856" width="1.5703125" style="402" hidden="1" customWidth="1"/>
    <col min="2857" max="3072" width="2.5703125" style="402" hidden="1"/>
    <col min="3073" max="3073" width="1.5703125" style="402" hidden="1" customWidth="1"/>
    <col min="3074" max="3074" width="0.85546875" style="402" hidden="1" customWidth="1"/>
    <col min="3075" max="3090" width="2.5703125" style="402" hidden="1" customWidth="1"/>
    <col min="3091" max="3091" width="4" style="402" hidden="1" customWidth="1"/>
    <col min="3092" max="3095" width="2.5703125" style="402" hidden="1" customWidth="1"/>
    <col min="3096" max="3096" width="2.42578125" style="402" hidden="1" customWidth="1"/>
    <col min="3097" max="3100" width="2.5703125" style="402" hidden="1" customWidth="1"/>
    <col min="3101" max="3101" width="2.42578125" style="402" hidden="1" customWidth="1"/>
    <col min="3102" max="3105" width="2.5703125" style="402" hidden="1" customWidth="1"/>
    <col min="3106" max="3111" width="2.42578125" style="402" hidden="1" customWidth="1"/>
    <col min="3112" max="3112" width="1.5703125" style="402" hidden="1" customWidth="1"/>
    <col min="3113" max="3328" width="2.5703125" style="402" hidden="1"/>
    <col min="3329" max="3329" width="1.5703125" style="402" hidden="1" customWidth="1"/>
    <col min="3330" max="3330" width="0.85546875" style="402" hidden="1" customWidth="1"/>
    <col min="3331" max="3346" width="2.5703125" style="402" hidden="1" customWidth="1"/>
    <col min="3347" max="3347" width="4" style="402" hidden="1" customWidth="1"/>
    <col min="3348" max="3351" width="2.5703125" style="402" hidden="1" customWidth="1"/>
    <col min="3352" max="3352" width="2.42578125" style="402" hidden="1" customWidth="1"/>
    <col min="3353" max="3356" width="2.5703125" style="402" hidden="1" customWidth="1"/>
    <col min="3357" max="3357" width="2.42578125" style="402" hidden="1" customWidth="1"/>
    <col min="3358" max="3361" width="2.5703125" style="402" hidden="1" customWidth="1"/>
    <col min="3362" max="3367" width="2.42578125" style="402" hidden="1" customWidth="1"/>
    <col min="3368" max="3368" width="1.5703125" style="402" hidden="1" customWidth="1"/>
    <col min="3369" max="3584" width="2.5703125" style="402" hidden="1"/>
    <col min="3585" max="3585" width="1.5703125" style="402" hidden="1" customWidth="1"/>
    <col min="3586" max="3586" width="0.85546875" style="402" hidden="1" customWidth="1"/>
    <col min="3587" max="3602" width="2.5703125" style="402" hidden="1" customWidth="1"/>
    <col min="3603" max="3603" width="4" style="402" hidden="1" customWidth="1"/>
    <col min="3604" max="3607" width="2.5703125" style="402" hidden="1" customWidth="1"/>
    <col min="3608" max="3608" width="2.42578125" style="402" hidden="1" customWidth="1"/>
    <col min="3609" max="3612" width="2.5703125" style="402" hidden="1" customWidth="1"/>
    <col min="3613" max="3613" width="2.42578125" style="402" hidden="1" customWidth="1"/>
    <col min="3614" max="3617" width="2.5703125" style="402" hidden="1" customWidth="1"/>
    <col min="3618" max="3623" width="2.42578125" style="402" hidden="1" customWidth="1"/>
    <col min="3624" max="3624" width="1.5703125" style="402" hidden="1" customWidth="1"/>
    <col min="3625" max="3840" width="2.5703125" style="402" hidden="1"/>
    <col min="3841" max="3841" width="1.5703125" style="402" hidden="1" customWidth="1"/>
    <col min="3842" max="3842" width="0.85546875" style="402" hidden="1" customWidth="1"/>
    <col min="3843" max="3858" width="2.5703125" style="402" hidden="1" customWidth="1"/>
    <col min="3859" max="3859" width="4" style="402" hidden="1" customWidth="1"/>
    <col min="3860" max="3863" width="2.5703125" style="402" hidden="1" customWidth="1"/>
    <col min="3864" max="3864" width="2.42578125" style="402" hidden="1" customWidth="1"/>
    <col min="3865" max="3868" width="2.5703125" style="402" hidden="1" customWidth="1"/>
    <col min="3869" max="3869" width="2.42578125" style="402" hidden="1" customWidth="1"/>
    <col min="3870" max="3873" width="2.5703125" style="402" hidden="1" customWidth="1"/>
    <col min="3874" max="3879" width="2.42578125" style="402" hidden="1" customWidth="1"/>
    <col min="3880" max="3880" width="1.5703125" style="402" hidden="1" customWidth="1"/>
    <col min="3881" max="4096" width="2.5703125" style="402" hidden="1"/>
    <col min="4097" max="4097" width="1.5703125" style="402" hidden="1" customWidth="1"/>
    <col min="4098" max="4098" width="0.85546875" style="402" hidden="1" customWidth="1"/>
    <col min="4099" max="4114" width="2.5703125" style="402" hidden="1" customWidth="1"/>
    <col min="4115" max="4115" width="4" style="402" hidden="1" customWidth="1"/>
    <col min="4116" max="4119" width="2.5703125" style="402" hidden="1" customWidth="1"/>
    <col min="4120" max="4120" width="2.42578125" style="402" hidden="1" customWidth="1"/>
    <col min="4121" max="4124" width="2.5703125" style="402" hidden="1" customWidth="1"/>
    <col min="4125" max="4125" width="2.42578125" style="402" hidden="1" customWidth="1"/>
    <col min="4126" max="4129" width="2.5703125" style="402" hidden="1" customWidth="1"/>
    <col min="4130" max="4135" width="2.42578125" style="402" hidden="1" customWidth="1"/>
    <col min="4136" max="4136" width="1.5703125" style="402" hidden="1" customWidth="1"/>
    <col min="4137" max="4352" width="2.5703125" style="402" hidden="1"/>
    <col min="4353" max="4353" width="1.5703125" style="402" hidden="1" customWidth="1"/>
    <col min="4354" max="4354" width="0.85546875" style="402" hidden="1" customWidth="1"/>
    <col min="4355" max="4370" width="2.5703125" style="402" hidden="1" customWidth="1"/>
    <col min="4371" max="4371" width="4" style="402" hidden="1" customWidth="1"/>
    <col min="4372" max="4375" width="2.5703125" style="402" hidden="1" customWidth="1"/>
    <col min="4376" max="4376" width="2.42578125" style="402" hidden="1" customWidth="1"/>
    <col min="4377" max="4380" width="2.5703125" style="402" hidden="1" customWidth="1"/>
    <col min="4381" max="4381" width="2.42578125" style="402" hidden="1" customWidth="1"/>
    <col min="4382" max="4385" width="2.5703125" style="402" hidden="1" customWidth="1"/>
    <col min="4386" max="4391" width="2.42578125" style="402" hidden="1" customWidth="1"/>
    <col min="4392" max="4392" width="1.5703125" style="402" hidden="1" customWidth="1"/>
    <col min="4393" max="4608" width="2.5703125" style="402" hidden="1"/>
    <col min="4609" max="4609" width="1.5703125" style="402" hidden="1" customWidth="1"/>
    <col min="4610" max="4610" width="0.85546875" style="402" hidden="1" customWidth="1"/>
    <col min="4611" max="4626" width="2.5703125" style="402" hidden="1" customWidth="1"/>
    <col min="4627" max="4627" width="4" style="402" hidden="1" customWidth="1"/>
    <col min="4628" max="4631" width="2.5703125" style="402" hidden="1" customWidth="1"/>
    <col min="4632" max="4632" width="2.42578125" style="402" hidden="1" customWidth="1"/>
    <col min="4633" max="4636" width="2.5703125" style="402" hidden="1" customWidth="1"/>
    <col min="4637" max="4637" width="2.42578125" style="402" hidden="1" customWidth="1"/>
    <col min="4638" max="4641" width="2.5703125" style="402" hidden="1" customWidth="1"/>
    <col min="4642" max="4647" width="2.42578125" style="402" hidden="1" customWidth="1"/>
    <col min="4648" max="4648" width="1.5703125" style="402" hidden="1" customWidth="1"/>
    <col min="4649" max="4864" width="2.5703125" style="402" hidden="1"/>
    <col min="4865" max="4865" width="1.5703125" style="402" hidden="1" customWidth="1"/>
    <col min="4866" max="4866" width="0.85546875" style="402" hidden="1" customWidth="1"/>
    <col min="4867" max="4882" width="2.5703125" style="402" hidden="1" customWidth="1"/>
    <col min="4883" max="4883" width="4" style="402" hidden="1" customWidth="1"/>
    <col min="4884" max="4887" width="2.5703125" style="402" hidden="1" customWidth="1"/>
    <col min="4888" max="4888" width="2.42578125" style="402" hidden="1" customWidth="1"/>
    <col min="4889" max="4892" width="2.5703125" style="402" hidden="1" customWidth="1"/>
    <col min="4893" max="4893" width="2.42578125" style="402" hidden="1" customWidth="1"/>
    <col min="4894" max="4897" width="2.5703125" style="402" hidden="1" customWidth="1"/>
    <col min="4898" max="4903" width="2.42578125" style="402" hidden="1" customWidth="1"/>
    <col min="4904" max="4904" width="1.5703125" style="402" hidden="1" customWidth="1"/>
    <col min="4905" max="5120" width="2.5703125" style="402" hidden="1"/>
    <col min="5121" max="5121" width="1.5703125" style="402" hidden="1" customWidth="1"/>
    <col min="5122" max="5122" width="0.85546875" style="402" hidden="1" customWidth="1"/>
    <col min="5123" max="5138" width="2.5703125" style="402" hidden="1" customWidth="1"/>
    <col min="5139" max="5139" width="4" style="402" hidden="1" customWidth="1"/>
    <col min="5140" max="5143" width="2.5703125" style="402" hidden="1" customWidth="1"/>
    <col min="5144" max="5144" width="2.42578125" style="402" hidden="1" customWidth="1"/>
    <col min="5145" max="5148" width="2.5703125" style="402" hidden="1" customWidth="1"/>
    <col min="5149" max="5149" width="2.42578125" style="402" hidden="1" customWidth="1"/>
    <col min="5150" max="5153" width="2.5703125" style="402" hidden="1" customWidth="1"/>
    <col min="5154" max="5159" width="2.42578125" style="402" hidden="1" customWidth="1"/>
    <col min="5160" max="5160" width="1.5703125" style="402" hidden="1" customWidth="1"/>
    <col min="5161" max="5376" width="2.5703125" style="402" hidden="1"/>
    <col min="5377" max="5377" width="1.5703125" style="402" hidden="1" customWidth="1"/>
    <col min="5378" max="5378" width="0.85546875" style="402" hidden="1" customWidth="1"/>
    <col min="5379" max="5394" width="2.5703125" style="402" hidden="1" customWidth="1"/>
    <col min="5395" max="5395" width="4" style="402" hidden="1" customWidth="1"/>
    <col min="5396" max="5399" width="2.5703125" style="402" hidden="1" customWidth="1"/>
    <col min="5400" max="5400" width="2.42578125" style="402" hidden="1" customWidth="1"/>
    <col min="5401" max="5404" width="2.5703125" style="402" hidden="1" customWidth="1"/>
    <col min="5405" max="5405" width="2.42578125" style="402" hidden="1" customWidth="1"/>
    <col min="5406" max="5409" width="2.5703125" style="402" hidden="1" customWidth="1"/>
    <col min="5410" max="5415" width="2.42578125" style="402" hidden="1" customWidth="1"/>
    <col min="5416" max="5416" width="1.5703125" style="402" hidden="1" customWidth="1"/>
    <col min="5417" max="5632" width="2.5703125" style="402" hidden="1"/>
    <col min="5633" max="5633" width="1.5703125" style="402" hidden="1" customWidth="1"/>
    <col min="5634" max="5634" width="0.85546875" style="402" hidden="1" customWidth="1"/>
    <col min="5635" max="5650" width="2.5703125" style="402" hidden="1" customWidth="1"/>
    <col min="5651" max="5651" width="4" style="402" hidden="1" customWidth="1"/>
    <col min="5652" max="5655" width="2.5703125" style="402" hidden="1" customWidth="1"/>
    <col min="5656" max="5656" width="2.42578125" style="402" hidden="1" customWidth="1"/>
    <col min="5657" max="5660" width="2.5703125" style="402" hidden="1" customWidth="1"/>
    <col min="5661" max="5661" width="2.42578125" style="402" hidden="1" customWidth="1"/>
    <col min="5662" max="5665" width="2.5703125" style="402" hidden="1" customWidth="1"/>
    <col min="5666" max="5671" width="2.42578125" style="402" hidden="1" customWidth="1"/>
    <col min="5672" max="5672" width="1.5703125" style="402" hidden="1" customWidth="1"/>
    <col min="5673" max="5888" width="2.5703125" style="402" hidden="1"/>
    <col min="5889" max="5889" width="1.5703125" style="402" hidden="1" customWidth="1"/>
    <col min="5890" max="5890" width="0.85546875" style="402" hidden="1" customWidth="1"/>
    <col min="5891" max="5906" width="2.5703125" style="402" hidden="1" customWidth="1"/>
    <col min="5907" max="5907" width="4" style="402" hidden="1" customWidth="1"/>
    <col min="5908" max="5911" width="2.5703125" style="402" hidden="1" customWidth="1"/>
    <col min="5912" max="5912" width="2.42578125" style="402" hidden="1" customWidth="1"/>
    <col min="5913" max="5916" width="2.5703125" style="402" hidden="1" customWidth="1"/>
    <col min="5917" max="5917" width="2.42578125" style="402" hidden="1" customWidth="1"/>
    <col min="5918" max="5921" width="2.5703125" style="402" hidden="1" customWidth="1"/>
    <col min="5922" max="5927" width="2.42578125" style="402" hidden="1" customWidth="1"/>
    <col min="5928" max="5928" width="1.5703125" style="402" hidden="1" customWidth="1"/>
    <col min="5929" max="6144" width="2.5703125" style="402" hidden="1"/>
    <col min="6145" max="6145" width="1.5703125" style="402" hidden="1" customWidth="1"/>
    <col min="6146" max="6146" width="0.85546875" style="402" hidden="1" customWidth="1"/>
    <col min="6147" max="6162" width="2.5703125" style="402" hidden="1" customWidth="1"/>
    <col min="6163" max="6163" width="4" style="402" hidden="1" customWidth="1"/>
    <col min="6164" max="6167" width="2.5703125" style="402" hidden="1" customWidth="1"/>
    <col min="6168" max="6168" width="2.42578125" style="402" hidden="1" customWidth="1"/>
    <col min="6169" max="6172" width="2.5703125" style="402" hidden="1" customWidth="1"/>
    <col min="6173" max="6173" width="2.42578125" style="402" hidden="1" customWidth="1"/>
    <col min="6174" max="6177" width="2.5703125" style="402" hidden="1" customWidth="1"/>
    <col min="6178" max="6183" width="2.42578125" style="402" hidden="1" customWidth="1"/>
    <col min="6184" max="6184" width="1.5703125" style="402" hidden="1" customWidth="1"/>
    <col min="6185" max="6400" width="2.5703125" style="402" hidden="1"/>
    <col min="6401" max="6401" width="1.5703125" style="402" hidden="1" customWidth="1"/>
    <col min="6402" max="6402" width="0.85546875" style="402" hidden="1" customWidth="1"/>
    <col min="6403" max="6418" width="2.5703125" style="402" hidden="1" customWidth="1"/>
    <col min="6419" max="6419" width="4" style="402" hidden="1" customWidth="1"/>
    <col min="6420" max="6423" width="2.5703125" style="402" hidden="1" customWidth="1"/>
    <col min="6424" max="6424" width="2.42578125" style="402" hidden="1" customWidth="1"/>
    <col min="6425" max="6428" width="2.5703125" style="402" hidden="1" customWidth="1"/>
    <col min="6429" max="6429" width="2.42578125" style="402" hidden="1" customWidth="1"/>
    <col min="6430" max="6433" width="2.5703125" style="402" hidden="1" customWidth="1"/>
    <col min="6434" max="6439" width="2.42578125" style="402" hidden="1" customWidth="1"/>
    <col min="6440" max="6440" width="1.5703125" style="402" hidden="1" customWidth="1"/>
    <col min="6441" max="6656" width="2.5703125" style="402" hidden="1"/>
    <col min="6657" max="6657" width="1.5703125" style="402" hidden="1" customWidth="1"/>
    <col min="6658" max="6658" width="0.85546875" style="402" hidden="1" customWidth="1"/>
    <col min="6659" max="6674" width="2.5703125" style="402" hidden="1" customWidth="1"/>
    <col min="6675" max="6675" width="4" style="402" hidden="1" customWidth="1"/>
    <col min="6676" max="6679" width="2.5703125" style="402" hidden="1" customWidth="1"/>
    <col min="6680" max="6680" width="2.42578125" style="402" hidden="1" customWidth="1"/>
    <col min="6681" max="6684" width="2.5703125" style="402" hidden="1" customWidth="1"/>
    <col min="6685" max="6685" width="2.42578125" style="402" hidden="1" customWidth="1"/>
    <col min="6686" max="6689" width="2.5703125" style="402" hidden="1" customWidth="1"/>
    <col min="6690" max="6695" width="2.42578125" style="402" hidden="1" customWidth="1"/>
    <col min="6696" max="6696" width="1.5703125" style="402" hidden="1" customWidth="1"/>
    <col min="6697" max="6912" width="2.5703125" style="402" hidden="1"/>
    <col min="6913" max="6913" width="1.5703125" style="402" hidden="1" customWidth="1"/>
    <col min="6914" max="6914" width="0.85546875" style="402" hidden="1" customWidth="1"/>
    <col min="6915" max="6930" width="2.5703125" style="402" hidden="1" customWidth="1"/>
    <col min="6931" max="6931" width="4" style="402" hidden="1" customWidth="1"/>
    <col min="6932" max="6935" width="2.5703125" style="402" hidden="1" customWidth="1"/>
    <col min="6936" max="6936" width="2.42578125" style="402" hidden="1" customWidth="1"/>
    <col min="6937" max="6940" width="2.5703125" style="402" hidden="1" customWidth="1"/>
    <col min="6941" max="6941" width="2.42578125" style="402" hidden="1" customWidth="1"/>
    <col min="6942" max="6945" width="2.5703125" style="402" hidden="1" customWidth="1"/>
    <col min="6946" max="6951" width="2.42578125" style="402" hidden="1" customWidth="1"/>
    <col min="6952" max="6952" width="1.5703125" style="402" hidden="1" customWidth="1"/>
    <col min="6953" max="7168" width="2.5703125" style="402" hidden="1"/>
    <col min="7169" max="7169" width="1.5703125" style="402" hidden="1" customWidth="1"/>
    <col min="7170" max="7170" width="0.85546875" style="402" hidden="1" customWidth="1"/>
    <col min="7171" max="7186" width="2.5703125" style="402" hidden="1" customWidth="1"/>
    <col min="7187" max="7187" width="4" style="402" hidden="1" customWidth="1"/>
    <col min="7188" max="7191" width="2.5703125" style="402" hidden="1" customWidth="1"/>
    <col min="7192" max="7192" width="2.42578125" style="402" hidden="1" customWidth="1"/>
    <col min="7193" max="7196" width="2.5703125" style="402" hidden="1" customWidth="1"/>
    <col min="7197" max="7197" width="2.42578125" style="402" hidden="1" customWidth="1"/>
    <col min="7198" max="7201" width="2.5703125" style="402" hidden="1" customWidth="1"/>
    <col min="7202" max="7207" width="2.42578125" style="402" hidden="1" customWidth="1"/>
    <col min="7208" max="7208" width="1.5703125" style="402" hidden="1" customWidth="1"/>
    <col min="7209" max="7424" width="2.5703125" style="402" hidden="1"/>
    <col min="7425" max="7425" width="1.5703125" style="402" hidden="1" customWidth="1"/>
    <col min="7426" max="7426" width="0.85546875" style="402" hidden="1" customWidth="1"/>
    <col min="7427" max="7442" width="2.5703125" style="402" hidden="1" customWidth="1"/>
    <col min="7443" max="7443" width="4" style="402" hidden="1" customWidth="1"/>
    <col min="7444" max="7447" width="2.5703125" style="402" hidden="1" customWidth="1"/>
    <col min="7448" max="7448" width="2.42578125" style="402" hidden="1" customWidth="1"/>
    <col min="7449" max="7452" width="2.5703125" style="402" hidden="1" customWidth="1"/>
    <col min="7453" max="7453" width="2.42578125" style="402" hidden="1" customWidth="1"/>
    <col min="7454" max="7457" width="2.5703125" style="402" hidden="1" customWidth="1"/>
    <col min="7458" max="7463" width="2.42578125" style="402" hidden="1" customWidth="1"/>
    <col min="7464" max="7464" width="1.5703125" style="402" hidden="1" customWidth="1"/>
    <col min="7465" max="7680" width="2.5703125" style="402" hidden="1"/>
    <col min="7681" max="7681" width="1.5703125" style="402" hidden="1" customWidth="1"/>
    <col min="7682" max="7682" width="0.85546875" style="402" hidden="1" customWidth="1"/>
    <col min="7683" max="7698" width="2.5703125" style="402" hidden="1" customWidth="1"/>
    <col min="7699" max="7699" width="4" style="402" hidden="1" customWidth="1"/>
    <col min="7700" max="7703" width="2.5703125" style="402" hidden="1" customWidth="1"/>
    <col min="7704" max="7704" width="2.42578125" style="402" hidden="1" customWidth="1"/>
    <col min="7705" max="7708" width="2.5703125" style="402" hidden="1" customWidth="1"/>
    <col min="7709" max="7709" width="2.42578125" style="402" hidden="1" customWidth="1"/>
    <col min="7710" max="7713" width="2.5703125" style="402" hidden="1" customWidth="1"/>
    <col min="7714" max="7719" width="2.42578125" style="402" hidden="1" customWidth="1"/>
    <col min="7720" max="7720" width="1.5703125" style="402" hidden="1" customWidth="1"/>
    <col min="7721" max="7936" width="2.5703125" style="402" hidden="1"/>
    <col min="7937" max="7937" width="1.5703125" style="402" hidden="1" customWidth="1"/>
    <col min="7938" max="7938" width="0.85546875" style="402" hidden="1" customWidth="1"/>
    <col min="7939" max="7954" width="2.5703125" style="402" hidden="1" customWidth="1"/>
    <col min="7955" max="7955" width="4" style="402" hidden="1" customWidth="1"/>
    <col min="7956" max="7959" width="2.5703125" style="402" hidden="1" customWidth="1"/>
    <col min="7960" max="7960" width="2.42578125" style="402" hidden="1" customWidth="1"/>
    <col min="7961" max="7964" width="2.5703125" style="402" hidden="1" customWidth="1"/>
    <col min="7965" max="7965" width="2.42578125" style="402" hidden="1" customWidth="1"/>
    <col min="7966" max="7969" width="2.5703125" style="402" hidden="1" customWidth="1"/>
    <col min="7970" max="7975" width="2.42578125" style="402" hidden="1" customWidth="1"/>
    <col min="7976" max="7976" width="1.5703125" style="402" hidden="1" customWidth="1"/>
    <col min="7977" max="8192" width="2.5703125" style="402" hidden="1"/>
    <col min="8193" max="8193" width="1.5703125" style="402" hidden="1" customWidth="1"/>
    <col min="8194" max="8194" width="0.85546875" style="402" hidden="1" customWidth="1"/>
    <col min="8195" max="8210" width="2.5703125" style="402" hidden="1" customWidth="1"/>
    <col min="8211" max="8211" width="4" style="402" hidden="1" customWidth="1"/>
    <col min="8212" max="8215" width="2.5703125" style="402" hidden="1" customWidth="1"/>
    <col min="8216" max="8216" width="2.42578125" style="402" hidden="1" customWidth="1"/>
    <col min="8217" max="8220" width="2.5703125" style="402" hidden="1" customWidth="1"/>
    <col min="8221" max="8221" width="2.42578125" style="402" hidden="1" customWidth="1"/>
    <col min="8222" max="8225" width="2.5703125" style="402" hidden="1" customWidth="1"/>
    <col min="8226" max="8231" width="2.42578125" style="402" hidden="1" customWidth="1"/>
    <col min="8232" max="8232" width="1.5703125" style="402" hidden="1" customWidth="1"/>
    <col min="8233" max="8448" width="2.5703125" style="402" hidden="1"/>
    <col min="8449" max="8449" width="1.5703125" style="402" hidden="1" customWidth="1"/>
    <col min="8450" max="8450" width="0.85546875" style="402" hidden="1" customWidth="1"/>
    <col min="8451" max="8466" width="2.5703125" style="402" hidden="1" customWidth="1"/>
    <col min="8467" max="8467" width="4" style="402" hidden="1" customWidth="1"/>
    <col min="8468" max="8471" width="2.5703125" style="402" hidden="1" customWidth="1"/>
    <col min="8472" max="8472" width="2.42578125" style="402" hidden="1" customWidth="1"/>
    <col min="8473" max="8476" width="2.5703125" style="402" hidden="1" customWidth="1"/>
    <col min="8477" max="8477" width="2.42578125" style="402" hidden="1" customWidth="1"/>
    <col min="8478" max="8481" width="2.5703125" style="402" hidden="1" customWidth="1"/>
    <col min="8482" max="8487" width="2.42578125" style="402" hidden="1" customWidth="1"/>
    <col min="8488" max="8488" width="1.5703125" style="402" hidden="1" customWidth="1"/>
    <col min="8489" max="8704" width="2.5703125" style="402" hidden="1"/>
    <col min="8705" max="8705" width="1.5703125" style="402" hidden="1" customWidth="1"/>
    <col min="8706" max="8706" width="0.85546875" style="402" hidden="1" customWidth="1"/>
    <col min="8707" max="8722" width="2.5703125" style="402" hidden="1" customWidth="1"/>
    <col min="8723" max="8723" width="4" style="402" hidden="1" customWidth="1"/>
    <col min="8724" max="8727" width="2.5703125" style="402" hidden="1" customWidth="1"/>
    <col min="8728" max="8728" width="2.42578125" style="402" hidden="1" customWidth="1"/>
    <col min="8729" max="8732" width="2.5703125" style="402" hidden="1" customWidth="1"/>
    <col min="8733" max="8733" width="2.42578125" style="402" hidden="1" customWidth="1"/>
    <col min="8734" max="8737" width="2.5703125" style="402" hidden="1" customWidth="1"/>
    <col min="8738" max="8743" width="2.42578125" style="402" hidden="1" customWidth="1"/>
    <col min="8744" max="8744" width="1.5703125" style="402" hidden="1" customWidth="1"/>
    <col min="8745" max="8960" width="2.5703125" style="402" hidden="1"/>
    <col min="8961" max="8961" width="1.5703125" style="402" hidden="1" customWidth="1"/>
    <col min="8962" max="8962" width="0.85546875" style="402" hidden="1" customWidth="1"/>
    <col min="8963" max="8978" width="2.5703125" style="402" hidden="1" customWidth="1"/>
    <col min="8979" max="8979" width="4" style="402" hidden="1" customWidth="1"/>
    <col min="8980" max="8983" width="2.5703125" style="402" hidden="1" customWidth="1"/>
    <col min="8984" max="8984" width="2.42578125" style="402" hidden="1" customWidth="1"/>
    <col min="8985" max="8988" width="2.5703125" style="402" hidden="1" customWidth="1"/>
    <col min="8989" max="8989" width="2.42578125" style="402" hidden="1" customWidth="1"/>
    <col min="8990" max="8993" width="2.5703125" style="402" hidden="1" customWidth="1"/>
    <col min="8994" max="8999" width="2.42578125" style="402" hidden="1" customWidth="1"/>
    <col min="9000" max="9000" width="1.5703125" style="402" hidden="1" customWidth="1"/>
    <col min="9001" max="9216" width="2.5703125" style="402" hidden="1"/>
    <col min="9217" max="9217" width="1.5703125" style="402" hidden="1" customWidth="1"/>
    <col min="9218" max="9218" width="0.85546875" style="402" hidden="1" customWidth="1"/>
    <col min="9219" max="9234" width="2.5703125" style="402" hidden="1" customWidth="1"/>
    <col min="9235" max="9235" width="4" style="402" hidden="1" customWidth="1"/>
    <col min="9236" max="9239" width="2.5703125" style="402" hidden="1" customWidth="1"/>
    <col min="9240" max="9240" width="2.42578125" style="402" hidden="1" customWidth="1"/>
    <col min="9241" max="9244" width="2.5703125" style="402" hidden="1" customWidth="1"/>
    <col min="9245" max="9245" width="2.42578125" style="402" hidden="1" customWidth="1"/>
    <col min="9246" max="9249" width="2.5703125" style="402" hidden="1" customWidth="1"/>
    <col min="9250" max="9255" width="2.42578125" style="402" hidden="1" customWidth="1"/>
    <col min="9256" max="9256" width="1.5703125" style="402" hidden="1" customWidth="1"/>
    <col min="9257" max="9472" width="2.5703125" style="402" hidden="1"/>
    <col min="9473" max="9473" width="1.5703125" style="402" hidden="1" customWidth="1"/>
    <col min="9474" max="9474" width="0.85546875" style="402" hidden="1" customWidth="1"/>
    <col min="9475" max="9490" width="2.5703125" style="402" hidden="1" customWidth="1"/>
    <col min="9491" max="9491" width="4" style="402" hidden="1" customWidth="1"/>
    <col min="9492" max="9495" width="2.5703125" style="402" hidden="1" customWidth="1"/>
    <col min="9496" max="9496" width="2.42578125" style="402" hidden="1" customWidth="1"/>
    <col min="9497" max="9500" width="2.5703125" style="402" hidden="1" customWidth="1"/>
    <col min="9501" max="9501" width="2.42578125" style="402" hidden="1" customWidth="1"/>
    <col min="9502" max="9505" width="2.5703125" style="402" hidden="1" customWidth="1"/>
    <col min="9506" max="9511" width="2.42578125" style="402" hidden="1" customWidth="1"/>
    <col min="9512" max="9512" width="1.5703125" style="402" hidden="1" customWidth="1"/>
    <col min="9513" max="9728" width="2.5703125" style="402" hidden="1"/>
    <col min="9729" max="9729" width="1.5703125" style="402" hidden="1" customWidth="1"/>
    <col min="9730" max="9730" width="0.85546875" style="402" hidden="1" customWidth="1"/>
    <col min="9731" max="9746" width="2.5703125" style="402" hidden="1" customWidth="1"/>
    <col min="9747" max="9747" width="4" style="402" hidden="1" customWidth="1"/>
    <col min="9748" max="9751" width="2.5703125" style="402" hidden="1" customWidth="1"/>
    <col min="9752" max="9752" width="2.42578125" style="402" hidden="1" customWidth="1"/>
    <col min="9753" max="9756" width="2.5703125" style="402" hidden="1" customWidth="1"/>
    <col min="9757" max="9757" width="2.42578125" style="402" hidden="1" customWidth="1"/>
    <col min="9758" max="9761" width="2.5703125" style="402" hidden="1" customWidth="1"/>
    <col min="9762" max="9767" width="2.42578125" style="402" hidden="1" customWidth="1"/>
    <col min="9768" max="9768" width="1.5703125" style="402" hidden="1" customWidth="1"/>
    <col min="9769" max="9984" width="2.5703125" style="402" hidden="1"/>
    <col min="9985" max="9985" width="1.5703125" style="402" hidden="1" customWidth="1"/>
    <col min="9986" max="9986" width="0.85546875" style="402" hidden="1" customWidth="1"/>
    <col min="9987" max="10002" width="2.5703125" style="402" hidden="1" customWidth="1"/>
    <col min="10003" max="10003" width="4" style="402" hidden="1" customWidth="1"/>
    <col min="10004" max="10007" width="2.5703125" style="402" hidden="1" customWidth="1"/>
    <col min="10008" max="10008" width="2.42578125" style="402" hidden="1" customWidth="1"/>
    <col min="10009" max="10012" width="2.5703125" style="402" hidden="1" customWidth="1"/>
    <col min="10013" max="10013" width="2.42578125" style="402" hidden="1" customWidth="1"/>
    <col min="10014" max="10017" width="2.5703125" style="402" hidden="1" customWidth="1"/>
    <col min="10018" max="10023" width="2.42578125" style="402" hidden="1" customWidth="1"/>
    <col min="10024" max="10024" width="1.5703125" style="402" hidden="1" customWidth="1"/>
    <col min="10025" max="10240" width="2.5703125" style="402" hidden="1"/>
    <col min="10241" max="10241" width="1.5703125" style="402" hidden="1" customWidth="1"/>
    <col min="10242" max="10242" width="0.85546875" style="402" hidden="1" customWidth="1"/>
    <col min="10243" max="10258" width="2.5703125" style="402" hidden="1" customWidth="1"/>
    <col min="10259" max="10259" width="4" style="402" hidden="1" customWidth="1"/>
    <col min="10260" max="10263" width="2.5703125" style="402" hidden="1" customWidth="1"/>
    <col min="10264" max="10264" width="2.42578125" style="402" hidden="1" customWidth="1"/>
    <col min="10265" max="10268" width="2.5703125" style="402" hidden="1" customWidth="1"/>
    <col min="10269" max="10269" width="2.42578125" style="402" hidden="1" customWidth="1"/>
    <col min="10270" max="10273" width="2.5703125" style="402" hidden="1" customWidth="1"/>
    <col min="10274" max="10279" width="2.42578125" style="402" hidden="1" customWidth="1"/>
    <col min="10280" max="10280" width="1.5703125" style="402" hidden="1" customWidth="1"/>
    <col min="10281" max="10496" width="2.5703125" style="402" hidden="1"/>
    <col min="10497" max="10497" width="1.5703125" style="402" hidden="1" customWidth="1"/>
    <col min="10498" max="10498" width="0.85546875" style="402" hidden="1" customWidth="1"/>
    <col min="10499" max="10514" width="2.5703125" style="402" hidden="1" customWidth="1"/>
    <col min="10515" max="10515" width="4" style="402" hidden="1" customWidth="1"/>
    <col min="10516" max="10519" width="2.5703125" style="402" hidden="1" customWidth="1"/>
    <col min="10520" max="10520" width="2.42578125" style="402" hidden="1" customWidth="1"/>
    <col min="10521" max="10524" width="2.5703125" style="402" hidden="1" customWidth="1"/>
    <col min="10525" max="10525" width="2.42578125" style="402" hidden="1" customWidth="1"/>
    <col min="10526" max="10529" width="2.5703125" style="402" hidden="1" customWidth="1"/>
    <col min="10530" max="10535" width="2.42578125" style="402" hidden="1" customWidth="1"/>
    <col min="10536" max="10536" width="1.5703125" style="402" hidden="1" customWidth="1"/>
    <col min="10537" max="10752" width="2.5703125" style="402" hidden="1"/>
    <col min="10753" max="10753" width="1.5703125" style="402" hidden="1" customWidth="1"/>
    <col min="10754" max="10754" width="0.85546875" style="402" hidden="1" customWidth="1"/>
    <col min="10755" max="10770" width="2.5703125" style="402" hidden="1" customWidth="1"/>
    <col min="10771" max="10771" width="4" style="402" hidden="1" customWidth="1"/>
    <col min="10772" max="10775" width="2.5703125" style="402" hidden="1" customWidth="1"/>
    <col min="10776" max="10776" width="2.42578125" style="402" hidden="1" customWidth="1"/>
    <col min="10777" max="10780" width="2.5703125" style="402" hidden="1" customWidth="1"/>
    <col min="10781" max="10781" width="2.42578125" style="402" hidden="1" customWidth="1"/>
    <col min="10782" max="10785" width="2.5703125" style="402" hidden="1" customWidth="1"/>
    <col min="10786" max="10791" width="2.42578125" style="402" hidden="1" customWidth="1"/>
    <col min="10792" max="10792" width="1.5703125" style="402" hidden="1" customWidth="1"/>
    <col min="10793" max="11008" width="2.5703125" style="402" hidden="1"/>
    <col min="11009" max="11009" width="1.5703125" style="402" hidden="1" customWidth="1"/>
    <col min="11010" max="11010" width="0.85546875" style="402" hidden="1" customWidth="1"/>
    <col min="11011" max="11026" width="2.5703125" style="402" hidden="1" customWidth="1"/>
    <col min="11027" max="11027" width="4" style="402" hidden="1" customWidth="1"/>
    <col min="11028" max="11031" width="2.5703125" style="402" hidden="1" customWidth="1"/>
    <col min="11032" max="11032" width="2.42578125" style="402" hidden="1" customWidth="1"/>
    <col min="11033" max="11036" width="2.5703125" style="402" hidden="1" customWidth="1"/>
    <col min="11037" max="11037" width="2.42578125" style="402" hidden="1" customWidth="1"/>
    <col min="11038" max="11041" width="2.5703125" style="402" hidden="1" customWidth="1"/>
    <col min="11042" max="11047" width="2.42578125" style="402" hidden="1" customWidth="1"/>
    <col min="11048" max="11048" width="1.5703125" style="402" hidden="1" customWidth="1"/>
    <col min="11049" max="11264" width="2.5703125" style="402" hidden="1"/>
    <col min="11265" max="11265" width="1.5703125" style="402" hidden="1" customWidth="1"/>
    <col min="11266" max="11266" width="0.85546875" style="402" hidden="1" customWidth="1"/>
    <col min="11267" max="11282" width="2.5703125" style="402" hidden="1" customWidth="1"/>
    <col min="11283" max="11283" width="4" style="402" hidden="1" customWidth="1"/>
    <col min="11284" max="11287" width="2.5703125" style="402" hidden="1" customWidth="1"/>
    <col min="11288" max="11288" width="2.42578125" style="402" hidden="1" customWidth="1"/>
    <col min="11289" max="11292" width="2.5703125" style="402" hidden="1" customWidth="1"/>
    <col min="11293" max="11293" width="2.42578125" style="402" hidden="1" customWidth="1"/>
    <col min="11294" max="11297" width="2.5703125" style="402" hidden="1" customWidth="1"/>
    <col min="11298" max="11303" width="2.42578125" style="402" hidden="1" customWidth="1"/>
    <col min="11304" max="11304" width="1.5703125" style="402" hidden="1" customWidth="1"/>
    <col min="11305" max="11520" width="2.5703125" style="402" hidden="1"/>
    <col min="11521" max="11521" width="1.5703125" style="402" hidden="1" customWidth="1"/>
    <col min="11522" max="11522" width="0.85546875" style="402" hidden="1" customWidth="1"/>
    <col min="11523" max="11538" width="2.5703125" style="402" hidden="1" customWidth="1"/>
    <col min="11539" max="11539" width="4" style="402" hidden="1" customWidth="1"/>
    <col min="11540" max="11543" width="2.5703125" style="402" hidden="1" customWidth="1"/>
    <col min="11544" max="11544" width="2.42578125" style="402" hidden="1" customWidth="1"/>
    <col min="11545" max="11548" width="2.5703125" style="402" hidden="1" customWidth="1"/>
    <col min="11549" max="11549" width="2.42578125" style="402" hidden="1" customWidth="1"/>
    <col min="11550" max="11553" width="2.5703125" style="402" hidden="1" customWidth="1"/>
    <col min="11554" max="11559" width="2.42578125" style="402" hidden="1" customWidth="1"/>
    <col min="11560" max="11560" width="1.5703125" style="402" hidden="1" customWidth="1"/>
    <col min="11561" max="11776" width="2.5703125" style="402" hidden="1"/>
    <col min="11777" max="11777" width="1.5703125" style="402" hidden="1" customWidth="1"/>
    <col min="11778" max="11778" width="0.85546875" style="402" hidden="1" customWidth="1"/>
    <col min="11779" max="11794" width="2.5703125" style="402" hidden="1" customWidth="1"/>
    <col min="11795" max="11795" width="4" style="402" hidden="1" customWidth="1"/>
    <col min="11796" max="11799" width="2.5703125" style="402" hidden="1" customWidth="1"/>
    <col min="11800" max="11800" width="2.42578125" style="402" hidden="1" customWidth="1"/>
    <col min="11801" max="11804" width="2.5703125" style="402" hidden="1" customWidth="1"/>
    <col min="11805" max="11805" width="2.42578125" style="402" hidden="1" customWidth="1"/>
    <col min="11806" max="11809" width="2.5703125" style="402" hidden="1" customWidth="1"/>
    <col min="11810" max="11815" width="2.42578125" style="402" hidden="1" customWidth="1"/>
    <col min="11816" max="11816" width="1.5703125" style="402" hidden="1" customWidth="1"/>
    <col min="11817" max="12032" width="2.5703125" style="402" hidden="1"/>
    <col min="12033" max="12033" width="1.5703125" style="402" hidden="1" customWidth="1"/>
    <col min="12034" max="12034" width="0.85546875" style="402" hidden="1" customWidth="1"/>
    <col min="12035" max="12050" width="2.5703125" style="402" hidden="1" customWidth="1"/>
    <col min="12051" max="12051" width="4" style="402" hidden="1" customWidth="1"/>
    <col min="12052" max="12055" width="2.5703125" style="402" hidden="1" customWidth="1"/>
    <col min="12056" max="12056" width="2.42578125" style="402" hidden="1" customWidth="1"/>
    <col min="12057" max="12060" width="2.5703125" style="402" hidden="1" customWidth="1"/>
    <col min="12061" max="12061" width="2.42578125" style="402" hidden="1" customWidth="1"/>
    <col min="12062" max="12065" width="2.5703125" style="402" hidden="1" customWidth="1"/>
    <col min="12066" max="12071" width="2.42578125" style="402" hidden="1" customWidth="1"/>
    <col min="12072" max="12072" width="1.5703125" style="402" hidden="1" customWidth="1"/>
    <col min="12073" max="12288" width="2.5703125" style="402" hidden="1"/>
    <col min="12289" max="12289" width="1.5703125" style="402" hidden="1" customWidth="1"/>
    <col min="12290" max="12290" width="0.85546875" style="402" hidden="1" customWidth="1"/>
    <col min="12291" max="12306" width="2.5703125" style="402" hidden="1" customWidth="1"/>
    <col min="12307" max="12307" width="4" style="402" hidden="1" customWidth="1"/>
    <col min="12308" max="12311" width="2.5703125" style="402" hidden="1" customWidth="1"/>
    <col min="12312" max="12312" width="2.42578125" style="402" hidden="1" customWidth="1"/>
    <col min="12313" max="12316" width="2.5703125" style="402" hidden="1" customWidth="1"/>
    <col min="12317" max="12317" width="2.42578125" style="402" hidden="1" customWidth="1"/>
    <col min="12318" max="12321" width="2.5703125" style="402" hidden="1" customWidth="1"/>
    <col min="12322" max="12327" width="2.42578125" style="402" hidden="1" customWidth="1"/>
    <col min="12328" max="12328" width="1.5703125" style="402" hidden="1" customWidth="1"/>
    <col min="12329" max="12544" width="2.5703125" style="402" hidden="1"/>
    <col min="12545" max="12545" width="1.5703125" style="402" hidden="1" customWidth="1"/>
    <col min="12546" max="12546" width="0.85546875" style="402" hidden="1" customWidth="1"/>
    <col min="12547" max="12562" width="2.5703125" style="402" hidden="1" customWidth="1"/>
    <col min="12563" max="12563" width="4" style="402" hidden="1" customWidth="1"/>
    <col min="12564" max="12567" width="2.5703125" style="402" hidden="1" customWidth="1"/>
    <col min="12568" max="12568" width="2.42578125" style="402" hidden="1" customWidth="1"/>
    <col min="12569" max="12572" width="2.5703125" style="402" hidden="1" customWidth="1"/>
    <col min="12573" max="12573" width="2.42578125" style="402" hidden="1" customWidth="1"/>
    <col min="12574" max="12577" width="2.5703125" style="402" hidden="1" customWidth="1"/>
    <col min="12578" max="12583" width="2.42578125" style="402" hidden="1" customWidth="1"/>
    <col min="12584" max="12584" width="1.5703125" style="402" hidden="1" customWidth="1"/>
    <col min="12585" max="12800" width="2.5703125" style="402" hidden="1"/>
    <col min="12801" max="12801" width="1.5703125" style="402" hidden="1" customWidth="1"/>
    <col min="12802" max="12802" width="0.85546875" style="402" hidden="1" customWidth="1"/>
    <col min="12803" max="12818" width="2.5703125" style="402" hidden="1" customWidth="1"/>
    <col min="12819" max="12819" width="4" style="402" hidden="1" customWidth="1"/>
    <col min="12820" max="12823" width="2.5703125" style="402" hidden="1" customWidth="1"/>
    <col min="12824" max="12824" width="2.42578125" style="402" hidden="1" customWidth="1"/>
    <col min="12825" max="12828" width="2.5703125" style="402" hidden="1" customWidth="1"/>
    <col min="12829" max="12829" width="2.42578125" style="402" hidden="1" customWidth="1"/>
    <col min="12830" max="12833" width="2.5703125" style="402" hidden="1" customWidth="1"/>
    <col min="12834" max="12839" width="2.42578125" style="402" hidden="1" customWidth="1"/>
    <col min="12840" max="12840" width="1.5703125" style="402" hidden="1" customWidth="1"/>
    <col min="12841" max="13056" width="2.5703125" style="402" hidden="1"/>
    <col min="13057" max="13057" width="1.5703125" style="402" hidden="1" customWidth="1"/>
    <col min="13058" max="13058" width="0.85546875" style="402" hidden="1" customWidth="1"/>
    <col min="13059" max="13074" width="2.5703125" style="402" hidden="1" customWidth="1"/>
    <col min="13075" max="13075" width="4" style="402" hidden="1" customWidth="1"/>
    <col min="13076" max="13079" width="2.5703125" style="402" hidden="1" customWidth="1"/>
    <col min="13080" max="13080" width="2.42578125" style="402" hidden="1" customWidth="1"/>
    <col min="13081" max="13084" width="2.5703125" style="402" hidden="1" customWidth="1"/>
    <col min="13085" max="13085" width="2.42578125" style="402" hidden="1" customWidth="1"/>
    <col min="13086" max="13089" width="2.5703125" style="402" hidden="1" customWidth="1"/>
    <col min="13090" max="13095" width="2.42578125" style="402" hidden="1" customWidth="1"/>
    <col min="13096" max="13096" width="1.5703125" style="402" hidden="1" customWidth="1"/>
    <col min="13097" max="13312" width="2.5703125" style="402" hidden="1"/>
    <col min="13313" max="13313" width="1.5703125" style="402" hidden="1" customWidth="1"/>
    <col min="13314" max="13314" width="0.85546875" style="402" hidden="1" customWidth="1"/>
    <col min="13315" max="13330" width="2.5703125" style="402" hidden="1" customWidth="1"/>
    <col min="13331" max="13331" width="4" style="402" hidden="1" customWidth="1"/>
    <col min="13332" max="13335" width="2.5703125" style="402" hidden="1" customWidth="1"/>
    <col min="13336" max="13336" width="2.42578125" style="402" hidden="1" customWidth="1"/>
    <col min="13337" max="13340" width="2.5703125" style="402" hidden="1" customWidth="1"/>
    <col min="13341" max="13341" width="2.42578125" style="402" hidden="1" customWidth="1"/>
    <col min="13342" max="13345" width="2.5703125" style="402" hidden="1" customWidth="1"/>
    <col min="13346" max="13351" width="2.42578125" style="402" hidden="1" customWidth="1"/>
    <col min="13352" max="13352" width="1.5703125" style="402" hidden="1" customWidth="1"/>
    <col min="13353" max="13568" width="2.5703125" style="402" hidden="1"/>
    <col min="13569" max="13569" width="1.5703125" style="402" hidden="1" customWidth="1"/>
    <col min="13570" max="13570" width="0.85546875" style="402" hidden="1" customWidth="1"/>
    <col min="13571" max="13586" width="2.5703125" style="402" hidden="1" customWidth="1"/>
    <col min="13587" max="13587" width="4" style="402" hidden="1" customWidth="1"/>
    <col min="13588" max="13591" width="2.5703125" style="402" hidden="1" customWidth="1"/>
    <col min="13592" max="13592" width="2.42578125" style="402" hidden="1" customWidth="1"/>
    <col min="13593" max="13596" width="2.5703125" style="402" hidden="1" customWidth="1"/>
    <col min="13597" max="13597" width="2.42578125" style="402" hidden="1" customWidth="1"/>
    <col min="13598" max="13601" width="2.5703125" style="402" hidden="1" customWidth="1"/>
    <col min="13602" max="13607" width="2.42578125" style="402" hidden="1" customWidth="1"/>
    <col min="13608" max="13608" width="1.5703125" style="402" hidden="1" customWidth="1"/>
    <col min="13609" max="13824" width="2.5703125" style="402" hidden="1"/>
    <col min="13825" max="13825" width="1.5703125" style="402" hidden="1" customWidth="1"/>
    <col min="13826" max="13826" width="0.85546875" style="402" hidden="1" customWidth="1"/>
    <col min="13827" max="13842" width="2.5703125" style="402" hidden="1" customWidth="1"/>
    <col min="13843" max="13843" width="4" style="402" hidden="1" customWidth="1"/>
    <col min="13844" max="13847" width="2.5703125" style="402" hidden="1" customWidth="1"/>
    <col min="13848" max="13848" width="2.42578125" style="402" hidden="1" customWidth="1"/>
    <col min="13849" max="13852" width="2.5703125" style="402" hidden="1" customWidth="1"/>
    <col min="13853" max="13853" width="2.42578125" style="402" hidden="1" customWidth="1"/>
    <col min="13854" max="13857" width="2.5703125" style="402" hidden="1" customWidth="1"/>
    <col min="13858" max="13863" width="2.42578125" style="402" hidden="1" customWidth="1"/>
    <col min="13864" max="13864" width="1.5703125" style="402" hidden="1" customWidth="1"/>
    <col min="13865" max="14080" width="2.5703125" style="402" hidden="1"/>
    <col min="14081" max="14081" width="1.5703125" style="402" hidden="1" customWidth="1"/>
    <col min="14082" max="14082" width="0.85546875" style="402" hidden="1" customWidth="1"/>
    <col min="14083" max="14098" width="2.5703125" style="402" hidden="1" customWidth="1"/>
    <col min="14099" max="14099" width="4" style="402" hidden="1" customWidth="1"/>
    <col min="14100" max="14103" width="2.5703125" style="402" hidden="1" customWidth="1"/>
    <col min="14104" max="14104" width="2.42578125" style="402" hidden="1" customWidth="1"/>
    <col min="14105" max="14108" width="2.5703125" style="402" hidden="1" customWidth="1"/>
    <col min="14109" max="14109" width="2.42578125" style="402" hidden="1" customWidth="1"/>
    <col min="14110" max="14113" width="2.5703125" style="402" hidden="1" customWidth="1"/>
    <col min="14114" max="14119" width="2.42578125" style="402" hidden="1" customWidth="1"/>
    <col min="14120" max="14120" width="1.5703125" style="402" hidden="1" customWidth="1"/>
    <col min="14121" max="14336" width="2.5703125" style="402" hidden="1"/>
    <col min="14337" max="14337" width="1.5703125" style="402" hidden="1" customWidth="1"/>
    <col min="14338" max="14338" width="0.85546875" style="402" hidden="1" customWidth="1"/>
    <col min="14339" max="14354" width="2.5703125" style="402" hidden="1" customWidth="1"/>
    <col min="14355" max="14355" width="4" style="402" hidden="1" customWidth="1"/>
    <col min="14356" max="14359" width="2.5703125" style="402" hidden="1" customWidth="1"/>
    <col min="14360" max="14360" width="2.42578125" style="402" hidden="1" customWidth="1"/>
    <col min="14361" max="14364" width="2.5703125" style="402" hidden="1" customWidth="1"/>
    <col min="14365" max="14365" width="2.42578125" style="402" hidden="1" customWidth="1"/>
    <col min="14366" max="14369" width="2.5703125" style="402" hidden="1" customWidth="1"/>
    <col min="14370" max="14375" width="2.42578125" style="402" hidden="1" customWidth="1"/>
    <col min="14376" max="14376" width="1.5703125" style="402" hidden="1" customWidth="1"/>
    <col min="14377" max="14592" width="2.5703125" style="402" hidden="1"/>
    <col min="14593" max="14593" width="1.5703125" style="402" hidden="1" customWidth="1"/>
    <col min="14594" max="14594" width="0.85546875" style="402" hidden="1" customWidth="1"/>
    <col min="14595" max="14610" width="2.5703125" style="402" hidden="1" customWidth="1"/>
    <col min="14611" max="14611" width="4" style="402" hidden="1" customWidth="1"/>
    <col min="14612" max="14615" width="2.5703125" style="402" hidden="1" customWidth="1"/>
    <col min="14616" max="14616" width="2.42578125" style="402" hidden="1" customWidth="1"/>
    <col min="14617" max="14620" width="2.5703125" style="402" hidden="1" customWidth="1"/>
    <col min="14621" max="14621" width="2.42578125" style="402" hidden="1" customWidth="1"/>
    <col min="14622" max="14625" width="2.5703125" style="402" hidden="1" customWidth="1"/>
    <col min="14626" max="14631" width="2.42578125" style="402" hidden="1" customWidth="1"/>
    <col min="14632" max="14632" width="1.5703125" style="402" hidden="1" customWidth="1"/>
    <col min="14633" max="14848" width="2.5703125" style="402" hidden="1"/>
    <col min="14849" max="14849" width="1.5703125" style="402" hidden="1" customWidth="1"/>
    <col min="14850" max="14850" width="0.85546875" style="402" hidden="1" customWidth="1"/>
    <col min="14851" max="14866" width="2.5703125" style="402" hidden="1" customWidth="1"/>
    <col min="14867" max="14867" width="4" style="402" hidden="1" customWidth="1"/>
    <col min="14868" max="14871" width="2.5703125" style="402" hidden="1" customWidth="1"/>
    <col min="14872" max="14872" width="2.42578125" style="402" hidden="1" customWidth="1"/>
    <col min="14873" max="14876" width="2.5703125" style="402" hidden="1" customWidth="1"/>
    <col min="14877" max="14877" width="2.42578125" style="402" hidden="1" customWidth="1"/>
    <col min="14878" max="14881" width="2.5703125" style="402" hidden="1" customWidth="1"/>
    <col min="14882" max="14887" width="2.42578125" style="402" hidden="1" customWidth="1"/>
    <col min="14888" max="14888" width="1.5703125" style="402" hidden="1" customWidth="1"/>
    <col min="14889" max="15104" width="2.5703125" style="402" hidden="1"/>
    <col min="15105" max="15105" width="1.5703125" style="402" hidden="1" customWidth="1"/>
    <col min="15106" max="15106" width="0.85546875" style="402" hidden="1" customWidth="1"/>
    <col min="15107" max="15122" width="2.5703125" style="402" hidden="1" customWidth="1"/>
    <col min="15123" max="15123" width="4" style="402" hidden="1" customWidth="1"/>
    <col min="15124" max="15127" width="2.5703125" style="402" hidden="1" customWidth="1"/>
    <col min="15128" max="15128" width="2.42578125" style="402" hidden="1" customWidth="1"/>
    <col min="15129" max="15132" width="2.5703125" style="402" hidden="1" customWidth="1"/>
    <col min="15133" max="15133" width="2.42578125" style="402" hidden="1" customWidth="1"/>
    <col min="15134" max="15137" width="2.5703125" style="402" hidden="1" customWidth="1"/>
    <col min="15138" max="15143" width="2.42578125" style="402" hidden="1" customWidth="1"/>
    <col min="15144" max="15144" width="1.5703125" style="402" hidden="1" customWidth="1"/>
    <col min="15145" max="15360" width="2.5703125" style="402" hidden="1"/>
    <col min="15361" max="15361" width="1.5703125" style="402" hidden="1" customWidth="1"/>
    <col min="15362" max="15362" width="0.85546875" style="402" hidden="1" customWidth="1"/>
    <col min="15363" max="15378" width="2.5703125" style="402" hidden="1" customWidth="1"/>
    <col min="15379" max="15379" width="4" style="402" hidden="1" customWidth="1"/>
    <col min="15380" max="15383" width="2.5703125" style="402" hidden="1" customWidth="1"/>
    <col min="15384" max="15384" width="2.42578125" style="402" hidden="1" customWidth="1"/>
    <col min="15385" max="15388" width="2.5703125" style="402" hidden="1" customWidth="1"/>
    <col min="15389" max="15389" width="2.42578125" style="402" hidden="1" customWidth="1"/>
    <col min="15390" max="15393" width="2.5703125" style="402" hidden="1" customWidth="1"/>
    <col min="15394" max="15399" width="2.42578125" style="402" hidden="1" customWidth="1"/>
    <col min="15400" max="15400" width="1.5703125" style="402" hidden="1" customWidth="1"/>
    <col min="15401" max="15616" width="2.5703125" style="402" hidden="1"/>
    <col min="15617" max="15617" width="1.5703125" style="402" hidden="1" customWidth="1"/>
    <col min="15618" max="15618" width="0.85546875" style="402" hidden="1" customWidth="1"/>
    <col min="15619" max="15634" width="2.5703125" style="402" hidden="1" customWidth="1"/>
    <col min="15635" max="15635" width="4" style="402" hidden="1" customWidth="1"/>
    <col min="15636" max="15639" width="2.5703125" style="402" hidden="1" customWidth="1"/>
    <col min="15640" max="15640" width="2.42578125" style="402" hidden="1" customWidth="1"/>
    <col min="15641" max="15644" width="2.5703125" style="402" hidden="1" customWidth="1"/>
    <col min="15645" max="15645" width="2.42578125" style="402" hidden="1" customWidth="1"/>
    <col min="15646" max="15649" width="2.5703125" style="402" hidden="1" customWidth="1"/>
    <col min="15650" max="15655" width="2.42578125" style="402" hidden="1" customWidth="1"/>
    <col min="15656" max="15656" width="1.5703125" style="402" hidden="1" customWidth="1"/>
    <col min="15657" max="15872" width="2.5703125" style="402" hidden="1"/>
    <col min="15873" max="15873" width="1.5703125" style="402" hidden="1" customWidth="1"/>
    <col min="15874" max="15874" width="0.85546875" style="402" hidden="1" customWidth="1"/>
    <col min="15875" max="15890" width="2.5703125" style="402" hidden="1" customWidth="1"/>
    <col min="15891" max="15891" width="4" style="402" hidden="1" customWidth="1"/>
    <col min="15892" max="15895" width="2.5703125" style="402" hidden="1" customWidth="1"/>
    <col min="15896" max="15896" width="2.42578125" style="402" hidden="1" customWidth="1"/>
    <col min="15897" max="15900" width="2.5703125" style="402" hidden="1" customWidth="1"/>
    <col min="15901" max="15901" width="2.42578125" style="402" hidden="1" customWidth="1"/>
    <col min="15902" max="15905" width="2.5703125" style="402" hidden="1" customWidth="1"/>
    <col min="15906" max="15911" width="2.42578125" style="402" hidden="1" customWidth="1"/>
    <col min="15912" max="15912" width="1.5703125" style="402" hidden="1" customWidth="1"/>
    <col min="15913" max="16128" width="2.5703125" style="402" hidden="1"/>
    <col min="16129" max="16129" width="1.5703125" style="402" hidden="1" customWidth="1"/>
    <col min="16130" max="16130" width="0.85546875" style="402" hidden="1" customWidth="1"/>
    <col min="16131" max="16146" width="2.5703125" style="402" hidden="1" customWidth="1"/>
    <col min="16147" max="16147" width="4" style="402" hidden="1" customWidth="1"/>
    <col min="16148" max="16151" width="2.5703125" style="402" hidden="1" customWidth="1"/>
    <col min="16152" max="16152" width="2.42578125" style="402" hidden="1" customWidth="1"/>
    <col min="16153" max="16156" width="2.5703125" style="402" hidden="1" customWidth="1"/>
    <col min="16157" max="16157" width="2.42578125" style="402" hidden="1" customWidth="1"/>
    <col min="16158" max="16161" width="2.5703125" style="402" hidden="1" customWidth="1"/>
    <col min="16162" max="16167" width="2.42578125" style="402" hidden="1" customWidth="1"/>
    <col min="16168" max="16168" width="1.5703125" style="402" hidden="1" customWidth="1"/>
    <col min="16169" max="16384" width="2.5703125" style="402" hidden="1"/>
  </cols>
  <sheetData>
    <row r="1" spans="1:40" ht="12.95" customHeight="1">
      <c r="A1" s="2372" t="s">
        <v>1279</v>
      </c>
      <c r="B1" s="2372"/>
      <c r="C1" s="2372"/>
      <c r="D1" s="2372"/>
      <c r="E1" s="2372"/>
      <c r="F1" s="2372"/>
      <c r="G1" s="2372"/>
      <c r="H1" s="2372"/>
      <c r="I1" s="2372"/>
      <c r="J1" s="2372"/>
      <c r="K1" s="2372"/>
      <c r="L1" s="2372"/>
      <c r="M1" s="2372"/>
      <c r="N1" s="2372"/>
      <c r="O1" s="2372"/>
      <c r="P1" s="2372"/>
      <c r="Q1" s="2372"/>
      <c r="R1" s="2372"/>
      <c r="S1" s="2372"/>
      <c r="T1" s="2372"/>
      <c r="U1" s="2372"/>
      <c r="V1" s="2372"/>
      <c r="W1" s="2372"/>
      <c r="X1" s="2372"/>
      <c r="Y1" s="2372"/>
      <c r="Z1" s="2372"/>
      <c r="AA1" s="2372"/>
      <c r="AB1" s="2372"/>
      <c r="AC1" s="2372"/>
      <c r="AD1" s="2372"/>
      <c r="AE1" s="2372"/>
      <c r="AF1" s="2372"/>
      <c r="AG1" s="2372"/>
      <c r="AH1" s="2372"/>
      <c r="AI1" s="2372"/>
      <c r="AJ1" s="2372"/>
      <c r="AK1" s="2372"/>
      <c r="AL1" s="2372"/>
      <c r="AM1" s="2372"/>
      <c r="AN1" s="2372"/>
    </row>
    <row r="2" spans="1:40" ht="12.95" customHeight="1" thickBot="1">
      <c r="A2" s="2373"/>
      <c r="B2" s="2373"/>
      <c r="C2" s="2373"/>
      <c r="D2" s="2373"/>
      <c r="E2" s="2373"/>
      <c r="F2" s="2373"/>
      <c r="G2" s="2373"/>
      <c r="H2" s="2373"/>
      <c r="I2" s="2373"/>
      <c r="J2" s="2373"/>
      <c r="K2" s="2373"/>
      <c r="L2" s="2373"/>
      <c r="M2" s="2373"/>
      <c r="N2" s="2373"/>
      <c r="O2" s="2373"/>
      <c r="P2" s="2373"/>
      <c r="Q2" s="2373"/>
      <c r="R2" s="2373"/>
      <c r="S2" s="2373"/>
      <c r="T2" s="2373"/>
      <c r="U2" s="2373"/>
      <c r="V2" s="2373"/>
      <c r="W2" s="2373"/>
      <c r="X2" s="2373"/>
      <c r="Y2" s="2373"/>
      <c r="Z2" s="2373"/>
      <c r="AA2" s="2373"/>
      <c r="AB2" s="2373"/>
      <c r="AC2" s="2373"/>
      <c r="AD2" s="2373"/>
      <c r="AE2" s="2373"/>
      <c r="AF2" s="2373"/>
      <c r="AG2" s="2373"/>
      <c r="AH2" s="2373"/>
      <c r="AI2" s="2373"/>
      <c r="AJ2" s="2373"/>
      <c r="AK2" s="2373"/>
      <c r="AL2" s="2373"/>
      <c r="AM2" s="2373"/>
      <c r="AN2" s="2373"/>
    </row>
    <row r="3" spans="1:40" ht="12.95"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2.95" customHeight="1">
      <c r="A4" s="404"/>
    </row>
    <row r="5" spans="1:40" ht="12.95" customHeight="1">
      <c r="A5" s="404" t="s">
        <v>318</v>
      </c>
      <c r="C5" s="404" t="s">
        <v>122</v>
      </c>
      <c r="F5" s="404"/>
    </row>
    <row r="6" spans="1:40" ht="12.95" customHeight="1">
      <c r="A6" s="404"/>
      <c r="C6" s="402" t="s">
        <v>1237</v>
      </c>
    </row>
    <row r="7" spans="1:40" ht="12.95" customHeight="1">
      <c r="B7" s="405"/>
      <c r="C7" s="406"/>
      <c r="D7" s="406"/>
      <c r="E7" s="406"/>
      <c r="F7" s="406"/>
      <c r="G7" s="406"/>
      <c r="H7" s="406"/>
      <c r="I7" s="406"/>
      <c r="J7" s="406"/>
      <c r="K7" s="406"/>
      <c r="L7" s="406"/>
      <c r="M7" s="406"/>
      <c r="N7" s="406"/>
      <c r="O7" s="406"/>
      <c r="P7" s="406"/>
      <c r="Q7" s="406"/>
      <c r="R7" s="406"/>
      <c r="S7" s="406"/>
      <c r="T7" s="2352" t="str">
        <f xml:space="preserve"> IF(T25=100%,'Sources and Basis Breakdown'!G2,'Sources and Basis Breakdown'!F2)</f>
        <v>30% PVC for New Const/
Rehabilitation
DDA/QCT
Building(s)</v>
      </c>
      <c r="U7" s="2352"/>
      <c r="V7" s="2352"/>
      <c r="W7" s="2352"/>
      <c r="X7" s="2352"/>
      <c r="Y7" s="2352" t="str">
        <f>IF(T25=100%,"",'Sources and Basis Breakdown'!G2)</f>
        <v>30% PVC for New Const/
Rehabilitation
NON-DDA/
NON-QCT Building(s)</v>
      </c>
      <c r="Z7" s="2352"/>
      <c r="AA7" s="2352"/>
      <c r="AB7" s="2352"/>
      <c r="AC7" s="2352"/>
      <c r="AD7" s="2352" t="str">
        <f xml:space="preserve"> IF(T25=100%, 'Sources and Basis Breakdown'!J2,'Sources and Basis Breakdown'!I2)</f>
        <v>30% PVC for Acquisition
DDA/QCT Building(s)</v>
      </c>
      <c r="AE7" s="2352"/>
      <c r="AF7" s="2352"/>
      <c r="AG7" s="2352"/>
      <c r="AH7" s="2352"/>
      <c r="AI7" s="2352" t="str">
        <f>IF(T25=100%,"",'Sources and Basis Breakdown'!J2)</f>
        <v>30% PVC for Acquisition
NON-DDA/
NON-QCT Building(s)</v>
      </c>
      <c r="AJ7" s="2352"/>
      <c r="AK7" s="2352"/>
      <c r="AL7" s="2352"/>
      <c r="AM7" s="2352"/>
    </row>
    <row r="8" spans="1:40" ht="12.95" customHeight="1">
      <c r="B8" s="407"/>
      <c r="T8" s="2352"/>
      <c r="U8" s="2352"/>
      <c r="V8" s="2352"/>
      <c r="W8" s="2352"/>
      <c r="X8" s="2352"/>
      <c r="Y8" s="2352"/>
      <c r="Z8" s="2352"/>
      <c r="AA8" s="2352"/>
      <c r="AB8" s="2352"/>
      <c r="AC8" s="2352"/>
      <c r="AD8" s="2352"/>
      <c r="AE8" s="2352"/>
      <c r="AF8" s="2352"/>
      <c r="AG8" s="2352"/>
      <c r="AH8" s="2352"/>
      <c r="AI8" s="2352"/>
      <c r="AJ8" s="2352"/>
      <c r="AK8" s="2352"/>
      <c r="AL8" s="2352"/>
      <c r="AM8" s="2352"/>
    </row>
    <row r="9" spans="1:40" ht="12.95" customHeight="1">
      <c r="B9" s="407"/>
      <c r="T9" s="2352"/>
      <c r="U9" s="2352"/>
      <c r="V9" s="2352"/>
      <c r="W9" s="2352"/>
      <c r="X9" s="2352"/>
      <c r="Y9" s="2352"/>
      <c r="Z9" s="2352"/>
      <c r="AA9" s="2352"/>
      <c r="AB9" s="2352"/>
      <c r="AC9" s="2352"/>
      <c r="AD9" s="2352"/>
      <c r="AE9" s="2352"/>
      <c r="AF9" s="2352"/>
      <c r="AG9" s="2352"/>
      <c r="AH9" s="2352"/>
      <c r="AI9" s="2352"/>
      <c r="AJ9" s="2352"/>
      <c r="AK9" s="2352"/>
      <c r="AL9" s="2352"/>
      <c r="AM9" s="2352"/>
    </row>
    <row r="10" spans="1:40" ht="12.95" customHeight="1">
      <c r="B10" s="408"/>
      <c r="C10" s="409"/>
      <c r="D10" s="409"/>
      <c r="E10" s="409"/>
      <c r="F10" s="409"/>
      <c r="G10" s="409"/>
      <c r="H10" s="409"/>
      <c r="I10" s="409"/>
      <c r="J10" s="409"/>
      <c r="K10" s="409"/>
      <c r="L10" s="409"/>
      <c r="M10" s="409"/>
      <c r="N10" s="409"/>
      <c r="O10" s="409"/>
      <c r="P10" s="409"/>
      <c r="Q10" s="409"/>
      <c r="R10" s="409"/>
      <c r="S10" s="409"/>
      <c r="T10" s="2352"/>
      <c r="U10" s="2352"/>
      <c r="V10" s="2352"/>
      <c r="W10" s="2352"/>
      <c r="X10" s="2352"/>
      <c r="Y10" s="2352"/>
      <c r="Z10" s="2352"/>
      <c r="AA10" s="2352"/>
      <c r="AB10" s="2352"/>
      <c r="AC10" s="2352"/>
      <c r="AD10" s="2352"/>
      <c r="AE10" s="2352"/>
      <c r="AF10" s="2352"/>
      <c r="AG10" s="2352"/>
      <c r="AH10" s="2352"/>
      <c r="AI10" s="2352"/>
      <c r="AJ10" s="2352"/>
      <c r="AK10" s="2352"/>
      <c r="AL10" s="2352"/>
      <c r="AM10" s="2352"/>
    </row>
    <row r="11" spans="1:40" ht="12.95" customHeight="1">
      <c r="B11" s="2338" t="s">
        <v>374</v>
      </c>
      <c r="C11" s="2339"/>
      <c r="D11" s="2339"/>
      <c r="E11" s="2339"/>
      <c r="F11" s="2339"/>
      <c r="G11" s="2339"/>
      <c r="H11" s="2339"/>
      <c r="I11" s="2339"/>
      <c r="J11" s="2339"/>
      <c r="K11" s="2339"/>
      <c r="L11" s="2339"/>
      <c r="M11" s="2339"/>
      <c r="N11" s="2339"/>
      <c r="O11" s="2339"/>
      <c r="P11" s="2339"/>
      <c r="Q11" s="2339"/>
      <c r="R11" s="2339"/>
      <c r="S11" s="2340"/>
      <c r="T11" s="2374">
        <f>IF('Sources and Basis Breakdown'!F107=0,'Sources and Basis Breakdown'!E107,'Sources and Basis Breakdown'!F107)</f>
        <v>84482680</v>
      </c>
      <c r="U11" s="2375"/>
      <c r="V11" s="2375"/>
      <c r="W11" s="2375"/>
      <c r="X11" s="2375"/>
      <c r="Y11" s="2374">
        <f>IF(Y7="",0,IF('Sources and Basis Breakdown'!G107+'Sources and Basis Breakdown'!F107='Sources and Basis Breakdown'!E107,'Sources and Basis Breakdown'!G107,0))</f>
        <v>0</v>
      </c>
      <c r="Z11" s="2375"/>
      <c r="AA11" s="2375"/>
      <c r="AB11" s="2375"/>
      <c r="AC11" s="2375"/>
      <c r="AD11" s="2375">
        <f>IF('Sources and Basis Breakdown'!I107=0,'Sources and Basis Breakdown'!H107,'Sources and Basis Breakdown'!I107)</f>
        <v>0</v>
      </c>
      <c r="AE11" s="2375"/>
      <c r="AF11" s="2375"/>
      <c r="AG11" s="2375"/>
      <c r="AH11" s="2375"/>
      <c r="AI11" s="2375">
        <f>IF(Y7="",0,IF('Sources and Basis Breakdown'!I107+'Sources and Basis Breakdown'!J107='Sources and Basis Breakdown'!H107,'Sources and Basis Breakdown'!J107,0))</f>
        <v>0</v>
      </c>
      <c r="AJ11" s="2375"/>
      <c r="AK11" s="2375"/>
      <c r="AL11" s="2375"/>
      <c r="AM11" s="2375"/>
    </row>
    <row r="12" spans="1:40" ht="12.95" customHeight="1">
      <c r="B12" s="2376" t="s">
        <v>497</v>
      </c>
      <c r="C12" s="1309"/>
      <c r="D12" s="1309"/>
      <c r="E12" s="1309"/>
      <c r="F12" s="1309"/>
      <c r="G12" s="1309"/>
      <c r="H12" s="1309"/>
      <c r="I12" s="1309"/>
      <c r="J12" s="1309"/>
      <c r="K12" s="1309"/>
      <c r="L12" s="1309"/>
      <c r="M12" s="1309"/>
      <c r="N12" s="1309"/>
      <c r="O12" s="1309"/>
      <c r="P12" s="1309"/>
      <c r="Q12" s="1309"/>
      <c r="R12" s="1309"/>
      <c r="S12" s="2377"/>
      <c r="T12" s="2367"/>
      <c r="U12" s="2368"/>
      <c r="V12" s="2368"/>
      <c r="W12" s="2368"/>
      <c r="X12" s="2369"/>
      <c r="Y12" s="2367"/>
      <c r="Z12" s="2368"/>
      <c r="AA12" s="2368"/>
      <c r="AB12" s="2368"/>
      <c r="AC12" s="2369"/>
      <c r="AD12" s="2367"/>
      <c r="AE12" s="2368"/>
      <c r="AF12" s="2368"/>
      <c r="AG12" s="2368"/>
      <c r="AH12" s="2369"/>
      <c r="AI12" s="2367"/>
      <c r="AJ12" s="2368"/>
      <c r="AK12" s="2368"/>
      <c r="AL12" s="2368"/>
      <c r="AM12" s="2369"/>
    </row>
    <row r="13" spans="1:40" ht="12.95" customHeight="1">
      <c r="B13" s="435"/>
      <c r="C13" s="2378" t="s">
        <v>498</v>
      </c>
      <c r="D13" s="2378"/>
      <c r="E13" s="2378"/>
      <c r="F13" s="2378"/>
      <c r="G13" s="2378"/>
      <c r="H13" s="2378"/>
      <c r="I13" s="2378"/>
      <c r="J13" s="2378"/>
      <c r="K13" s="2378"/>
      <c r="L13" s="2378"/>
      <c r="M13" s="2378"/>
      <c r="N13" s="2378"/>
      <c r="O13" s="2378"/>
      <c r="P13" s="2378"/>
      <c r="Q13" s="2378"/>
      <c r="R13" s="2378"/>
      <c r="S13" s="2379"/>
      <c r="T13" s="2370"/>
      <c r="U13" s="2371"/>
      <c r="V13" s="2371"/>
      <c r="W13" s="2371"/>
      <c r="X13" s="2371"/>
      <c r="Y13" s="2370"/>
      <c r="Z13" s="2371"/>
      <c r="AA13" s="2371"/>
      <c r="AB13" s="2371"/>
      <c r="AC13" s="2371"/>
      <c r="AD13" s="2371"/>
      <c r="AE13" s="2371"/>
      <c r="AF13" s="2371"/>
      <c r="AG13" s="2371"/>
      <c r="AH13" s="2371"/>
      <c r="AI13" s="2371"/>
      <c r="AJ13" s="2371"/>
      <c r="AK13" s="2371"/>
      <c r="AL13" s="2371"/>
      <c r="AM13" s="2371"/>
    </row>
    <row r="14" spans="1:40" ht="12.95" customHeight="1">
      <c r="B14" s="435"/>
      <c r="C14" s="2378" t="s">
        <v>499</v>
      </c>
      <c r="D14" s="2378"/>
      <c r="E14" s="2378"/>
      <c r="F14" s="2378"/>
      <c r="G14" s="2378"/>
      <c r="H14" s="2378"/>
      <c r="I14" s="2378"/>
      <c r="J14" s="2378"/>
      <c r="K14" s="2378"/>
      <c r="L14" s="2378"/>
      <c r="M14" s="2378"/>
      <c r="N14" s="2378"/>
      <c r="O14" s="2378"/>
      <c r="P14" s="2378"/>
      <c r="Q14" s="2378"/>
      <c r="R14" s="2378"/>
      <c r="S14" s="2379"/>
      <c r="T14" s="2360"/>
      <c r="U14" s="2361"/>
      <c r="V14" s="2361"/>
      <c r="W14" s="2361"/>
      <c r="X14" s="2361"/>
      <c r="Y14" s="2360"/>
      <c r="Z14" s="2361"/>
      <c r="AA14" s="2361"/>
      <c r="AB14" s="2361"/>
      <c r="AC14" s="2361"/>
      <c r="AD14" s="2361"/>
      <c r="AE14" s="2361"/>
      <c r="AF14" s="2361"/>
      <c r="AG14" s="2361"/>
      <c r="AH14" s="2361"/>
      <c r="AI14" s="2361"/>
      <c r="AJ14" s="2361"/>
      <c r="AK14" s="2361"/>
      <c r="AL14" s="2361"/>
      <c r="AM14" s="2361"/>
    </row>
    <row r="15" spans="1:40" ht="12.95" customHeight="1">
      <c r="B15" s="435"/>
      <c r="C15" s="2378" t="s">
        <v>500</v>
      </c>
      <c r="D15" s="2378"/>
      <c r="E15" s="2378"/>
      <c r="F15" s="2378"/>
      <c r="G15" s="2378"/>
      <c r="H15" s="2378"/>
      <c r="I15" s="2378"/>
      <c r="J15" s="2378"/>
      <c r="K15" s="2378"/>
      <c r="L15" s="2378"/>
      <c r="M15" s="2378"/>
      <c r="N15" s="2378"/>
      <c r="O15" s="2378"/>
      <c r="P15" s="2378"/>
      <c r="Q15" s="2378"/>
      <c r="R15" s="2378"/>
      <c r="S15" s="2379"/>
      <c r="T15" s="2360"/>
      <c r="U15" s="2361"/>
      <c r="V15" s="2361"/>
      <c r="W15" s="2361"/>
      <c r="X15" s="2361"/>
      <c r="Y15" s="2360"/>
      <c r="Z15" s="2361"/>
      <c r="AA15" s="2361"/>
      <c r="AB15" s="2361"/>
      <c r="AC15" s="2361"/>
      <c r="AD15" s="2361"/>
      <c r="AE15" s="2361"/>
      <c r="AF15" s="2361"/>
      <c r="AG15" s="2361"/>
      <c r="AH15" s="2361"/>
      <c r="AI15" s="2361"/>
      <c r="AJ15" s="2361"/>
      <c r="AK15" s="2361"/>
      <c r="AL15" s="2361"/>
      <c r="AM15" s="2361"/>
    </row>
    <row r="16" spans="1:40" ht="12.95" customHeight="1">
      <c r="B16" s="435"/>
      <c r="C16" s="2378" t="s">
        <v>805</v>
      </c>
      <c r="D16" s="2378"/>
      <c r="E16" s="2378"/>
      <c r="F16" s="2378"/>
      <c r="G16" s="2378"/>
      <c r="H16" s="2378"/>
      <c r="I16" s="2378"/>
      <c r="J16" s="2378"/>
      <c r="K16" s="2378"/>
      <c r="L16" s="2378"/>
      <c r="M16" s="2378"/>
      <c r="N16" s="2378"/>
      <c r="O16" s="2378"/>
      <c r="P16" s="2378"/>
      <c r="Q16" s="2378"/>
      <c r="R16" s="2378"/>
      <c r="S16" s="2379"/>
      <c r="T16" s="2360"/>
      <c r="U16" s="2361"/>
      <c r="V16" s="2361"/>
      <c r="W16" s="2361"/>
      <c r="X16" s="2361"/>
      <c r="Y16" s="2360"/>
      <c r="Z16" s="2361"/>
      <c r="AA16" s="2361"/>
      <c r="AB16" s="2361"/>
      <c r="AC16" s="2361"/>
      <c r="AD16" s="2361"/>
      <c r="AE16" s="2361"/>
      <c r="AF16" s="2361"/>
      <c r="AG16" s="2361"/>
      <c r="AH16" s="2361"/>
      <c r="AI16" s="2361"/>
      <c r="AJ16" s="2361"/>
      <c r="AK16" s="2361"/>
      <c r="AL16" s="2361"/>
      <c r="AM16" s="2361"/>
    </row>
    <row r="17" spans="1:40" ht="12.95" customHeight="1">
      <c r="B17" s="435"/>
      <c r="C17" s="2378" t="s">
        <v>501</v>
      </c>
      <c r="D17" s="2378"/>
      <c r="E17" s="2378"/>
      <c r="F17" s="2378"/>
      <c r="G17" s="2378"/>
      <c r="H17" s="2378"/>
      <c r="I17" s="2378"/>
      <c r="J17" s="2378"/>
      <c r="K17" s="2378"/>
      <c r="L17" s="2378"/>
      <c r="M17" s="2378"/>
      <c r="N17" s="2378"/>
      <c r="O17" s="2378"/>
      <c r="P17" s="2378"/>
      <c r="Q17" s="2378"/>
      <c r="R17" s="2378"/>
      <c r="S17" s="2379"/>
      <c r="T17" s="2360"/>
      <c r="U17" s="2361"/>
      <c r="V17" s="2361"/>
      <c r="W17" s="2361"/>
      <c r="X17" s="2361"/>
      <c r="Y17" s="2360"/>
      <c r="Z17" s="2361"/>
      <c r="AA17" s="2361"/>
      <c r="AB17" s="2361"/>
      <c r="AC17" s="2361"/>
      <c r="AD17" s="2361"/>
      <c r="AE17" s="2361"/>
      <c r="AF17" s="2361"/>
      <c r="AG17" s="2361"/>
      <c r="AH17" s="2361"/>
      <c r="AI17" s="2361"/>
      <c r="AJ17" s="2361"/>
      <c r="AK17" s="2361"/>
      <c r="AL17" s="2361"/>
      <c r="AM17" s="2361"/>
    </row>
    <row r="18" spans="1:40" ht="12.95" customHeight="1">
      <c r="A18"/>
      <c r="B18" s="1150"/>
      <c r="C18" s="1354" t="s">
        <v>960</v>
      </c>
      <c r="D18" s="1354"/>
      <c r="E18" s="1354"/>
      <c r="F18" s="1354"/>
      <c r="G18" s="1354"/>
      <c r="H18" s="1354"/>
      <c r="I18" s="1354"/>
      <c r="J18" s="1354"/>
      <c r="K18" s="1354"/>
      <c r="L18" s="1354"/>
      <c r="M18" s="1354"/>
      <c r="N18" s="1354"/>
      <c r="O18" s="1354"/>
      <c r="P18" s="1354"/>
      <c r="Q18" s="1354"/>
      <c r="R18" s="1354"/>
      <c r="S18" s="1355"/>
      <c r="T18" s="2360"/>
      <c r="U18" s="2361"/>
      <c r="V18" s="2361"/>
      <c r="W18" s="2361"/>
      <c r="X18" s="2361"/>
      <c r="Y18" s="2360"/>
      <c r="Z18" s="2361"/>
      <c r="AA18" s="2361"/>
      <c r="AB18" s="2361"/>
      <c r="AC18" s="2361"/>
      <c r="AD18" s="2361"/>
      <c r="AE18" s="2361"/>
      <c r="AF18" s="2361"/>
      <c r="AG18" s="2361"/>
      <c r="AH18" s="2361"/>
      <c r="AI18" s="2361"/>
      <c r="AJ18" s="2361"/>
      <c r="AK18" s="2361"/>
      <c r="AL18" s="2361"/>
      <c r="AM18" s="2361"/>
    </row>
    <row r="19" spans="1:40" ht="12.95" customHeight="1">
      <c r="B19" s="1150"/>
      <c r="C19" s="1354" t="s">
        <v>960</v>
      </c>
      <c r="D19" s="1354"/>
      <c r="E19" s="1354"/>
      <c r="F19" s="1354"/>
      <c r="G19" s="1354"/>
      <c r="H19" s="1354"/>
      <c r="I19" s="1354"/>
      <c r="J19" s="1354"/>
      <c r="K19" s="1354"/>
      <c r="L19" s="1354"/>
      <c r="M19" s="1354"/>
      <c r="N19" s="1354"/>
      <c r="O19" s="1354"/>
      <c r="P19" s="1354"/>
      <c r="Q19" s="1354"/>
      <c r="R19" s="1354"/>
      <c r="S19" s="1355"/>
      <c r="T19" s="2360"/>
      <c r="U19" s="2361"/>
      <c r="V19" s="2361"/>
      <c r="W19" s="2361"/>
      <c r="X19" s="2361"/>
      <c r="Y19" s="2360"/>
      <c r="Z19" s="2361"/>
      <c r="AA19" s="2361"/>
      <c r="AB19" s="2361"/>
      <c r="AC19" s="2361"/>
      <c r="AD19" s="2361"/>
      <c r="AE19" s="2361"/>
      <c r="AF19" s="2361"/>
      <c r="AG19" s="2361"/>
      <c r="AH19" s="2361"/>
      <c r="AI19" s="2361"/>
      <c r="AJ19" s="2361"/>
      <c r="AK19" s="2361"/>
      <c r="AL19" s="2361"/>
      <c r="AM19" s="2361"/>
    </row>
    <row r="20" spans="1:40" ht="12.95" customHeight="1">
      <c r="B20" s="2338" t="s">
        <v>502</v>
      </c>
      <c r="C20" s="2339"/>
      <c r="D20" s="2339"/>
      <c r="E20" s="2339"/>
      <c r="F20" s="2339"/>
      <c r="G20" s="2339"/>
      <c r="H20" s="2339"/>
      <c r="I20" s="2339"/>
      <c r="J20" s="2339"/>
      <c r="K20" s="2339"/>
      <c r="L20" s="2339"/>
      <c r="M20" s="2339"/>
      <c r="N20" s="2339"/>
      <c r="O20" s="2339"/>
      <c r="P20" s="2339"/>
      <c r="Q20" s="2339"/>
      <c r="R20" s="2339"/>
      <c r="S20" s="2340"/>
      <c r="T20" s="2351">
        <f>SUM(T13:X19)</f>
        <v>0</v>
      </c>
      <c r="U20" s="2332"/>
      <c r="V20" s="2332"/>
      <c r="W20" s="2332"/>
      <c r="X20" s="2332"/>
      <c r="Y20" s="2351">
        <f>SUM(Y13:AC19)</f>
        <v>0</v>
      </c>
      <c r="Z20" s="2332"/>
      <c r="AA20" s="2332"/>
      <c r="AB20" s="2332"/>
      <c r="AC20" s="2332"/>
      <c r="AD20" s="2342">
        <f>SUM(AD13:AH19)</f>
        <v>0</v>
      </c>
      <c r="AE20" s="2350"/>
      <c r="AF20" s="2350"/>
      <c r="AG20" s="2350"/>
      <c r="AH20" s="2351"/>
      <c r="AI20" s="2342">
        <f>SUM(AI13:AM19)</f>
        <v>0</v>
      </c>
      <c r="AJ20" s="2350"/>
      <c r="AK20" s="2350"/>
      <c r="AL20" s="2350"/>
      <c r="AM20" s="2351"/>
    </row>
    <row r="21" spans="1:40" ht="12.95" customHeight="1">
      <c r="B21" s="2338" t="s">
        <v>1262</v>
      </c>
      <c r="C21" s="2339"/>
      <c r="D21" s="2339"/>
      <c r="E21" s="2339"/>
      <c r="F21" s="2339"/>
      <c r="G21" s="2339"/>
      <c r="H21" s="2339"/>
      <c r="I21" s="2339"/>
      <c r="J21" s="2339"/>
      <c r="K21" s="2339"/>
      <c r="L21" s="2339"/>
      <c r="M21" s="2339"/>
      <c r="N21" s="2339"/>
      <c r="O21" s="2339"/>
      <c r="P21" s="2339"/>
      <c r="Q21" s="2339"/>
      <c r="R21" s="2339"/>
      <c r="S21" s="2340"/>
      <c r="T21" s="2360"/>
      <c r="U21" s="2361"/>
      <c r="V21" s="2361"/>
      <c r="W21" s="2361"/>
      <c r="X21" s="2361"/>
      <c r="Y21" s="2360"/>
      <c r="Z21" s="2361"/>
      <c r="AA21" s="2361"/>
      <c r="AB21" s="2361"/>
      <c r="AC21" s="2361"/>
      <c r="AD21" s="2367"/>
      <c r="AE21" s="2368"/>
      <c r="AF21" s="2368"/>
      <c r="AG21" s="2368"/>
      <c r="AH21" s="2369"/>
      <c r="AI21" s="2367"/>
      <c r="AJ21" s="2368"/>
      <c r="AK21" s="2368"/>
      <c r="AL21" s="2368"/>
      <c r="AM21" s="2369"/>
    </row>
    <row r="22" spans="1:40" ht="12.95" customHeight="1">
      <c r="B22" s="2338" t="s">
        <v>503</v>
      </c>
      <c r="C22" s="2339"/>
      <c r="D22" s="2339"/>
      <c r="E22" s="2339"/>
      <c r="F22" s="2339"/>
      <c r="G22" s="2339"/>
      <c r="H22" s="2339"/>
      <c r="I22" s="2339"/>
      <c r="J22" s="2339"/>
      <c r="K22" s="2339"/>
      <c r="L22" s="2339"/>
      <c r="M22" s="2339"/>
      <c r="N22" s="2339"/>
      <c r="O22" s="2339"/>
      <c r="P22" s="2339"/>
      <c r="Q22" s="2339"/>
      <c r="R22" s="2339"/>
      <c r="S22" s="2340"/>
      <c r="T22" s="2356">
        <f>(ABS(T20)+ABS(T21))*-1</f>
        <v>0</v>
      </c>
      <c r="U22" s="2357"/>
      <c r="V22" s="2357"/>
      <c r="W22" s="2357"/>
      <c r="X22" s="2357"/>
      <c r="Y22" s="2356">
        <f>(Y20+Y21)*-1</f>
        <v>0</v>
      </c>
      <c r="Z22" s="2357"/>
      <c r="AA22" s="2357"/>
      <c r="AB22" s="2357"/>
      <c r="AC22" s="2357"/>
      <c r="AD22" s="2358">
        <f>(AD20)*-1</f>
        <v>0</v>
      </c>
      <c r="AE22" s="2359"/>
      <c r="AF22" s="2359"/>
      <c r="AG22" s="2359"/>
      <c r="AH22" s="2356"/>
      <c r="AI22" s="2358">
        <f>(AI20)*-1</f>
        <v>0</v>
      </c>
      <c r="AJ22" s="2359"/>
      <c r="AK22" s="2359"/>
      <c r="AL22" s="2359"/>
      <c r="AM22" s="2356"/>
    </row>
    <row r="23" spans="1:40" ht="12.95" customHeight="1">
      <c r="B23" s="2338" t="s">
        <v>504</v>
      </c>
      <c r="C23" s="2339"/>
      <c r="D23" s="2339"/>
      <c r="E23" s="2339"/>
      <c r="F23" s="2339"/>
      <c r="G23" s="2339"/>
      <c r="H23" s="2339"/>
      <c r="I23" s="2339"/>
      <c r="J23" s="2339"/>
      <c r="K23" s="2339"/>
      <c r="L23" s="2339"/>
      <c r="M23" s="2339"/>
      <c r="N23" s="2339"/>
      <c r="O23" s="2339"/>
      <c r="P23" s="2339"/>
      <c r="Q23" s="2339"/>
      <c r="R23" s="2339"/>
      <c r="S23" s="2340"/>
      <c r="T23" s="2351">
        <f>T11+T22</f>
        <v>84482680</v>
      </c>
      <c r="U23" s="2332"/>
      <c r="V23" s="2332"/>
      <c r="W23" s="2332"/>
      <c r="X23" s="2332"/>
      <c r="Y23" s="2351">
        <f>Y11+Y22</f>
        <v>0</v>
      </c>
      <c r="Z23" s="2332"/>
      <c r="AA23" s="2332"/>
      <c r="AB23" s="2332"/>
      <c r="AC23" s="2332"/>
      <c r="AD23" s="2351">
        <f>AD11+AD22</f>
        <v>0</v>
      </c>
      <c r="AE23" s="2332"/>
      <c r="AF23" s="2332"/>
      <c r="AG23" s="2332"/>
      <c r="AH23" s="2332"/>
      <c r="AI23" s="2351">
        <f>AI11+AI22</f>
        <v>0</v>
      </c>
      <c r="AJ23" s="2332"/>
      <c r="AK23" s="2332"/>
      <c r="AL23" s="2332"/>
      <c r="AM23" s="2332"/>
    </row>
    <row r="24" spans="1:40" ht="12.95" customHeight="1">
      <c r="B24" s="2338" t="s">
        <v>961</v>
      </c>
      <c r="C24" s="2339"/>
      <c r="D24" s="2339"/>
      <c r="E24" s="2339"/>
      <c r="F24" s="2339"/>
      <c r="G24" s="2339"/>
      <c r="H24" s="2339"/>
      <c r="I24" s="2339"/>
      <c r="J24" s="2339"/>
      <c r="K24" s="2339"/>
      <c r="L24" s="2339"/>
      <c r="M24" s="2339"/>
      <c r="N24" s="2339"/>
      <c r="O24" s="2339"/>
      <c r="P24" s="2339"/>
      <c r="Q24" s="2339"/>
      <c r="R24" s="2339"/>
      <c r="S24" s="2340"/>
      <c r="T24" s="2342">
        <f>Application!AJ1053</f>
        <v>156822738.59999999</v>
      </c>
      <c r="U24" s="2350"/>
      <c r="V24" s="2350"/>
      <c r="W24" s="2350"/>
      <c r="X24" s="2350"/>
      <c r="Y24" s="2350"/>
      <c r="Z24" s="2350"/>
      <c r="AA24" s="2350"/>
      <c r="AB24" s="2350"/>
      <c r="AC24" s="2350"/>
      <c r="AD24" s="2350"/>
      <c r="AE24" s="2350"/>
      <c r="AF24" s="2350"/>
      <c r="AG24" s="2350"/>
      <c r="AH24" s="2350"/>
      <c r="AI24" s="2350"/>
      <c r="AJ24" s="2350"/>
      <c r="AK24" s="2350"/>
      <c r="AL24" s="2350"/>
      <c r="AM24" s="2351"/>
    </row>
    <row r="25" spans="1:40" ht="12.95" customHeight="1">
      <c r="B25" s="2382" t="s">
        <v>1263</v>
      </c>
      <c r="C25" s="2383"/>
      <c r="D25" s="2383"/>
      <c r="E25" s="2383"/>
      <c r="F25" s="2383"/>
      <c r="G25" s="2383"/>
      <c r="H25" s="2383"/>
      <c r="I25" s="2383"/>
      <c r="J25" s="2383"/>
      <c r="K25" s="2383"/>
      <c r="L25" s="2383"/>
      <c r="M25" s="2383"/>
      <c r="N25" s="2383"/>
      <c r="O25" s="2383"/>
      <c r="P25" s="2383"/>
      <c r="Q25" s="2383"/>
      <c r="R25" s="2383"/>
      <c r="S25" s="2384"/>
      <c r="T25" s="2364">
        <f>IF(OR(Application!T196="yes",Application!T195="yes"),1.3,1)</f>
        <v>1.3</v>
      </c>
      <c r="U25" s="2365"/>
      <c r="V25" s="2365"/>
      <c r="W25" s="2365"/>
      <c r="X25" s="2365"/>
      <c r="Y25" s="2364">
        <v>1</v>
      </c>
      <c r="Z25" s="2365"/>
      <c r="AA25" s="2365"/>
      <c r="AB25" s="2365"/>
      <c r="AC25" s="2365"/>
      <c r="AD25" s="2364">
        <v>1</v>
      </c>
      <c r="AE25" s="2365"/>
      <c r="AF25" s="2365"/>
      <c r="AG25" s="2365"/>
      <c r="AH25" s="2366"/>
      <c r="AI25" s="2364">
        <v>1</v>
      </c>
      <c r="AJ25" s="2365"/>
      <c r="AK25" s="2365"/>
      <c r="AL25" s="2365"/>
      <c r="AM25" s="2366"/>
    </row>
    <row r="26" spans="1:40" ht="12.95" customHeight="1">
      <c r="B26" s="2338" t="s">
        <v>505</v>
      </c>
      <c r="C26" s="2339"/>
      <c r="D26" s="2339"/>
      <c r="E26" s="2339"/>
      <c r="F26" s="2339"/>
      <c r="G26" s="2339"/>
      <c r="H26" s="2339"/>
      <c r="I26" s="2339"/>
      <c r="J26" s="2339"/>
      <c r="K26" s="2339"/>
      <c r="L26" s="2339"/>
      <c r="M26" s="2339"/>
      <c r="N26" s="2339"/>
      <c r="O26" s="2339"/>
      <c r="P26" s="2339"/>
      <c r="Q26" s="2339"/>
      <c r="R26" s="2339"/>
      <c r="S26" s="2340"/>
      <c r="T26" s="2351">
        <f>T23*T25</f>
        <v>109827484</v>
      </c>
      <c r="U26" s="2332"/>
      <c r="V26" s="2332"/>
      <c r="W26" s="2332"/>
      <c r="X26" s="2332"/>
      <c r="Y26" s="2351">
        <f>Y23*Y25</f>
        <v>0</v>
      </c>
      <c r="Z26" s="2332"/>
      <c r="AA26" s="2332"/>
      <c r="AB26" s="2332"/>
      <c r="AC26" s="2332"/>
      <c r="AD26" s="2351">
        <f>AD23*AD25</f>
        <v>0</v>
      </c>
      <c r="AE26" s="2332"/>
      <c r="AF26" s="2332"/>
      <c r="AG26" s="2332"/>
      <c r="AH26" s="2332"/>
      <c r="AI26" s="2351">
        <f>AI23*AI25</f>
        <v>0</v>
      </c>
      <c r="AJ26" s="2332"/>
      <c r="AK26" s="2332"/>
      <c r="AL26" s="2332"/>
      <c r="AM26" s="2332"/>
    </row>
    <row r="27" spans="1:40" ht="12.95" customHeight="1">
      <c r="A27" s="410"/>
      <c r="B27" s="2385" t="s">
        <v>425</v>
      </c>
      <c r="C27" s="2386"/>
      <c r="D27" s="2386"/>
      <c r="E27" s="2386"/>
      <c r="F27" s="2386"/>
      <c r="G27" s="2386"/>
      <c r="H27" s="2386"/>
      <c r="I27" s="2386"/>
      <c r="J27" s="2386"/>
      <c r="K27" s="2386"/>
      <c r="L27" s="2386"/>
      <c r="M27" s="2386"/>
      <c r="N27" s="2386"/>
      <c r="O27" s="2386"/>
      <c r="P27" s="2386"/>
      <c r="Q27" s="2386"/>
      <c r="R27" s="2386"/>
      <c r="S27" s="2387"/>
      <c r="T27" s="2362">
        <f>Application!$AG$445</f>
        <v>1</v>
      </c>
      <c r="U27" s="2363"/>
      <c r="V27" s="2363"/>
      <c r="W27" s="2363"/>
      <c r="X27" s="2363"/>
      <c r="Y27" s="2362">
        <f>Application!$AG$445</f>
        <v>1</v>
      </c>
      <c r="Z27" s="2363"/>
      <c r="AA27" s="2363"/>
      <c r="AB27" s="2363"/>
      <c r="AC27" s="2363"/>
      <c r="AD27" s="2362">
        <f>Application!$AG$445</f>
        <v>1</v>
      </c>
      <c r="AE27" s="2363"/>
      <c r="AF27" s="2363"/>
      <c r="AG27" s="2363"/>
      <c r="AH27" s="2363"/>
      <c r="AI27" s="2362">
        <f>Application!$AG$445</f>
        <v>1</v>
      </c>
      <c r="AJ27" s="2363"/>
      <c r="AK27" s="2363"/>
      <c r="AL27" s="2363"/>
      <c r="AM27" s="2363"/>
    </row>
    <row r="28" spans="1:40" ht="12.95" customHeight="1">
      <c r="A28" s="404"/>
      <c r="B28" s="2338" t="s">
        <v>506</v>
      </c>
      <c r="C28" s="2339"/>
      <c r="D28" s="2339"/>
      <c r="E28" s="2339"/>
      <c r="F28" s="2339"/>
      <c r="G28" s="2339"/>
      <c r="H28" s="2339"/>
      <c r="I28" s="2339"/>
      <c r="J28" s="2339"/>
      <c r="K28" s="2339"/>
      <c r="L28" s="2339"/>
      <c r="M28" s="2339"/>
      <c r="N28" s="2339"/>
      <c r="O28" s="2339"/>
      <c r="P28" s="2339"/>
      <c r="Q28" s="2339"/>
      <c r="R28" s="2339"/>
      <c r="S28" s="2340"/>
      <c r="T28" s="2351">
        <f>IF(ISERROR((T26*T27)),0,(T26*T27))</f>
        <v>109827484</v>
      </c>
      <c r="U28" s="2332"/>
      <c r="V28" s="2332"/>
      <c r="W28" s="2332"/>
      <c r="X28" s="2332"/>
      <c r="Y28" s="2351">
        <f>IF(ISERROR((Y26*Y27)),0,(Y26*Y27))</f>
        <v>0</v>
      </c>
      <c r="Z28" s="2332"/>
      <c r="AA28" s="2332"/>
      <c r="AB28" s="2332"/>
      <c r="AC28" s="2332"/>
      <c r="AD28" s="2351">
        <f>IF(ISERROR((AD26*AD27)),0,(AD26*AD27))</f>
        <v>0</v>
      </c>
      <c r="AE28" s="2332"/>
      <c r="AF28" s="2332"/>
      <c r="AG28" s="2332"/>
      <c r="AH28" s="2332"/>
      <c r="AI28" s="2351">
        <f>IF(ISERROR((AI26*AI27)),0,(AI26*AI27))</f>
        <v>0</v>
      </c>
      <c r="AJ28" s="2332"/>
      <c r="AK28" s="2332"/>
      <c r="AL28" s="2332"/>
      <c r="AM28" s="2332"/>
    </row>
    <row r="29" spans="1:40" ht="12.95" customHeight="1">
      <c r="B29" s="2338" t="s">
        <v>523</v>
      </c>
      <c r="C29" s="2339"/>
      <c r="D29" s="2339"/>
      <c r="E29" s="2339"/>
      <c r="F29" s="2339"/>
      <c r="G29" s="2339"/>
      <c r="H29" s="2339"/>
      <c r="I29" s="2339"/>
      <c r="J29" s="2339"/>
      <c r="K29" s="2339"/>
      <c r="L29" s="2339"/>
      <c r="M29" s="2339"/>
      <c r="N29" s="2339"/>
      <c r="O29" s="2339"/>
      <c r="P29" s="2339"/>
      <c r="Q29" s="2339"/>
      <c r="R29" s="2339"/>
      <c r="S29" s="2340"/>
      <c r="T29" s="2342">
        <f>T28+Y28+AD28+AI28</f>
        <v>109827484</v>
      </c>
      <c r="U29" s="2350"/>
      <c r="V29" s="2350"/>
      <c r="W29" s="2350"/>
      <c r="X29" s="2350"/>
      <c r="Y29" s="2350"/>
      <c r="Z29" s="2350"/>
      <c r="AA29" s="2350"/>
      <c r="AB29" s="2350"/>
      <c r="AC29" s="2350"/>
      <c r="AD29" s="2350"/>
      <c r="AE29" s="2350"/>
      <c r="AF29" s="2350"/>
      <c r="AG29" s="2350"/>
      <c r="AH29" s="2350"/>
      <c r="AI29" s="2350"/>
      <c r="AJ29" s="2350"/>
      <c r="AK29" s="2350"/>
      <c r="AL29" s="2350"/>
      <c r="AM29" s="2351"/>
    </row>
    <row r="30" spans="1:40" ht="12.95" customHeight="1">
      <c r="B30" s="2355" t="s">
        <v>1265</v>
      </c>
      <c r="C30" s="2355"/>
      <c r="D30" s="2355"/>
      <c r="E30" s="2355"/>
      <c r="F30" s="2355"/>
      <c r="G30" s="2355"/>
      <c r="H30" s="2355"/>
      <c r="I30" s="2355"/>
      <c r="J30" s="2355"/>
      <c r="K30" s="2355"/>
      <c r="L30" s="2355"/>
      <c r="M30" s="2355"/>
      <c r="N30" s="2355"/>
      <c r="O30" s="2355"/>
      <c r="P30" s="2355"/>
      <c r="Q30" s="2355"/>
      <c r="R30" s="2355"/>
      <c r="S30" s="2355"/>
      <c r="T30" s="2355"/>
      <c r="U30" s="2355"/>
      <c r="V30" s="2355"/>
      <c r="W30" s="2355"/>
      <c r="X30" s="2355"/>
      <c r="Y30" s="2355"/>
      <c r="Z30" s="2355"/>
      <c r="AA30" s="2355"/>
      <c r="AB30" s="2355"/>
      <c r="AC30" s="2355"/>
      <c r="AD30" s="2355"/>
      <c r="AE30" s="2355"/>
      <c r="AF30" s="2355"/>
      <c r="AG30" s="2355"/>
      <c r="AH30" s="2355"/>
      <c r="AI30" s="2355"/>
      <c r="AJ30" s="2355"/>
      <c r="AK30" s="2355"/>
      <c r="AL30" s="2355"/>
      <c r="AM30" s="2355"/>
    </row>
    <row r="31" spans="1:40" ht="12.95" customHeight="1">
      <c r="B31" s="2355" t="s">
        <v>1264</v>
      </c>
      <c r="C31" s="2355"/>
      <c r="D31" s="2355"/>
      <c r="E31" s="2355"/>
      <c r="F31" s="2355"/>
      <c r="G31" s="2355"/>
      <c r="H31" s="2355"/>
      <c r="I31" s="2355"/>
      <c r="J31" s="2355"/>
      <c r="K31" s="2355"/>
      <c r="L31" s="2355"/>
      <c r="M31" s="2355"/>
      <c r="N31" s="2355"/>
      <c r="O31" s="2355"/>
      <c r="P31" s="2355"/>
      <c r="Q31" s="2355"/>
      <c r="R31" s="2355"/>
      <c r="S31" s="2355"/>
      <c r="T31" s="2355"/>
      <c r="U31" s="2355"/>
      <c r="V31" s="2355"/>
      <c r="W31" s="2355"/>
      <c r="X31" s="2355"/>
      <c r="Y31" s="2355"/>
      <c r="Z31" s="2355"/>
      <c r="AA31" s="2355"/>
      <c r="AB31" s="2355"/>
      <c r="AC31" s="2355"/>
      <c r="AD31" s="2355"/>
      <c r="AE31" s="2355"/>
      <c r="AF31" s="2355"/>
      <c r="AG31" s="2355"/>
      <c r="AH31" s="2355"/>
      <c r="AI31" s="2355"/>
      <c r="AJ31" s="2355"/>
      <c r="AK31" s="2355"/>
      <c r="AL31" s="2355"/>
      <c r="AM31" s="2355"/>
      <c r="AN31" s="518"/>
    </row>
    <row r="32" spans="1:40" ht="12.95" customHeight="1">
      <c r="B32" s="434"/>
      <c r="C32" s="511" t="s">
        <v>386</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2.95" customHeight="1">
      <c r="A34" s="404" t="s">
        <v>576</v>
      </c>
      <c r="C34" s="404" t="s">
        <v>568</v>
      </c>
    </row>
    <row r="35" spans="1:76" ht="12.95"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52" t="s">
        <v>1153</v>
      </c>
      <c r="Z35" s="2352"/>
      <c r="AA35" s="2352"/>
      <c r="AB35" s="2352"/>
      <c r="AC35" s="2352"/>
      <c r="AD35" s="2353" t="s">
        <v>368</v>
      </c>
      <c r="AE35" s="2353"/>
      <c r="AF35" s="2353"/>
      <c r="AG35" s="2353"/>
      <c r="AH35" s="2353"/>
    </row>
    <row r="36" spans="1:76" ht="12.95" customHeight="1">
      <c r="B36" s="407"/>
      <c r="X36" s="412"/>
      <c r="Y36" s="2352"/>
      <c r="Z36" s="2352"/>
      <c r="AA36" s="2352"/>
      <c r="AB36" s="2352"/>
      <c r="AC36" s="2352"/>
      <c r="AD36" s="2353"/>
      <c r="AE36" s="2353"/>
      <c r="AF36" s="2353"/>
      <c r="AG36" s="2353"/>
      <c r="AH36" s="2353"/>
    </row>
    <row r="37" spans="1:76" ht="12.95"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52"/>
      <c r="Z37" s="2352"/>
      <c r="AA37" s="2352"/>
      <c r="AB37" s="2352"/>
      <c r="AC37" s="2352"/>
      <c r="AD37" s="2353"/>
      <c r="AE37" s="2353"/>
      <c r="AF37" s="2353"/>
      <c r="AG37" s="2353"/>
      <c r="AH37" s="2353"/>
    </row>
    <row r="38" spans="1:76" ht="12.95" customHeight="1">
      <c r="A38" s="404"/>
      <c r="B38" s="2338" t="s">
        <v>506</v>
      </c>
      <c r="C38" s="2339"/>
      <c r="D38" s="2339"/>
      <c r="E38" s="2339"/>
      <c r="F38" s="2339"/>
      <c r="G38" s="2339"/>
      <c r="H38" s="2339"/>
      <c r="I38" s="2339"/>
      <c r="J38" s="2339"/>
      <c r="K38" s="2339"/>
      <c r="L38" s="2339"/>
      <c r="M38" s="2339"/>
      <c r="N38" s="2339"/>
      <c r="O38" s="2339"/>
      <c r="P38" s="2339"/>
      <c r="Q38" s="2339"/>
      <c r="R38" s="2339"/>
      <c r="S38" s="2339"/>
      <c r="T38" s="2339"/>
      <c r="U38" s="2339"/>
      <c r="V38" s="2339"/>
      <c r="W38" s="2339"/>
      <c r="X38" s="2340"/>
      <c r="Y38" s="2332">
        <f>IF(T24&gt;=(T23+Y23+AD23+AI23),T28+Y28,0)</f>
        <v>109827484</v>
      </c>
      <c r="Z38" s="2332"/>
      <c r="AA38" s="2332"/>
      <c r="AB38" s="2332"/>
      <c r="AC38" s="2332"/>
      <c r="AD38" s="2332">
        <f>IF(T24&gt;=(T23+Y23+AD23+AI23),AD28+AI28,0)</f>
        <v>0</v>
      </c>
      <c r="AE38" s="2332"/>
      <c r="AF38" s="2332"/>
      <c r="AG38" s="2332"/>
      <c r="AH38" s="2332"/>
    </row>
    <row r="39" spans="1:76" ht="12.95" customHeight="1">
      <c r="B39" s="2338" t="s">
        <v>1690</v>
      </c>
      <c r="C39" s="2339"/>
      <c r="D39" s="2339"/>
      <c r="E39" s="2339"/>
      <c r="F39" s="2339"/>
      <c r="G39" s="2339"/>
      <c r="H39" s="2339"/>
      <c r="I39" s="2339"/>
      <c r="J39" s="2339"/>
      <c r="K39" s="2339"/>
      <c r="L39" s="2339"/>
      <c r="M39" s="2339"/>
      <c r="N39" s="2339"/>
      <c r="O39" s="2339"/>
      <c r="P39" s="2339"/>
      <c r="Q39" s="2339"/>
      <c r="R39" s="2339"/>
      <c r="S39" s="2339"/>
      <c r="T39" s="2339"/>
      <c r="U39" s="2339"/>
      <c r="V39" s="2339"/>
      <c r="W39" s="2339"/>
      <c r="X39" s="2340"/>
      <c r="Y39" s="2354">
        <v>0.04</v>
      </c>
      <c r="Z39" s="2354"/>
      <c r="AA39" s="2354"/>
      <c r="AB39" s="2354"/>
      <c r="AC39" s="2354"/>
      <c r="AD39" s="2354">
        <v>0.04</v>
      </c>
      <c r="AE39" s="2354"/>
      <c r="AF39" s="2354"/>
      <c r="AG39" s="2354"/>
      <c r="AH39" s="2354"/>
    </row>
    <row r="40" spans="1:76" ht="12.95" customHeight="1">
      <c r="A40" s="404"/>
      <c r="B40" s="2338" t="s">
        <v>642</v>
      </c>
      <c r="C40" s="2339"/>
      <c r="D40" s="2339"/>
      <c r="E40" s="2339"/>
      <c r="F40" s="2339"/>
      <c r="G40" s="2339"/>
      <c r="H40" s="2339"/>
      <c r="I40" s="2339"/>
      <c r="J40" s="2339"/>
      <c r="K40" s="2339"/>
      <c r="L40" s="2339"/>
      <c r="M40" s="2339"/>
      <c r="N40" s="2339"/>
      <c r="O40" s="2339"/>
      <c r="P40" s="2339"/>
      <c r="Q40" s="2339"/>
      <c r="R40" s="2339"/>
      <c r="S40" s="2339"/>
      <c r="T40" s="2339"/>
      <c r="U40" s="2339"/>
      <c r="V40" s="2339"/>
      <c r="W40" s="2339"/>
      <c r="X40" s="2340"/>
      <c r="Y40" s="2332">
        <f>ROUND(Y38*Y39,0)</f>
        <v>4393099</v>
      </c>
      <c r="Z40" s="2332"/>
      <c r="AA40" s="2332"/>
      <c r="AB40" s="2332"/>
      <c r="AC40" s="2332"/>
      <c r="AD40" s="2351">
        <f>ROUND(AD38*AD39,0)</f>
        <v>0</v>
      </c>
      <c r="AE40" s="2332"/>
      <c r="AF40" s="2332"/>
      <c r="AG40" s="2332"/>
      <c r="AH40" s="2332"/>
    </row>
    <row r="41" spans="1:76" ht="12.95" customHeight="1">
      <c r="B41" s="2338" t="s">
        <v>643</v>
      </c>
      <c r="C41" s="2339"/>
      <c r="D41" s="2339"/>
      <c r="E41" s="2339"/>
      <c r="F41" s="2339"/>
      <c r="G41" s="2339"/>
      <c r="H41" s="2339"/>
      <c r="I41" s="2339"/>
      <c r="J41" s="2339"/>
      <c r="K41" s="2339"/>
      <c r="L41" s="2339"/>
      <c r="M41" s="2339"/>
      <c r="N41" s="2339"/>
      <c r="O41" s="2339"/>
      <c r="P41" s="2339"/>
      <c r="Q41" s="2339"/>
      <c r="R41" s="2339"/>
      <c r="S41" s="2339"/>
      <c r="T41" s="2339"/>
      <c r="U41" s="2339"/>
      <c r="V41" s="2339"/>
      <c r="W41" s="2339"/>
      <c r="X41" s="2340"/>
      <c r="Y41" s="2342">
        <f>Y40+AD40</f>
        <v>4393099</v>
      </c>
      <c r="Z41" s="2350"/>
      <c r="AA41" s="2350"/>
      <c r="AB41" s="2350"/>
      <c r="AC41" s="2350"/>
      <c r="AD41" s="2350"/>
      <c r="AE41" s="2350"/>
      <c r="AF41" s="2350"/>
      <c r="AG41" s="2350"/>
      <c r="AH41" s="2351"/>
    </row>
    <row r="42" spans="1:76" ht="12.95"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2.95"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2.95" customHeight="1" thickBot="1">
      <c r="A44" s="2349" t="s">
        <v>1275</v>
      </c>
      <c r="B44" s="2349"/>
      <c r="C44" s="2349"/>
      <c r="D44" s="2349"/>
      <c r="E44" s="2349"/>
      <c r="F44" s="2349"/>
      <c r="G44" s="2349"/>
      <c r="H44" s="2349"/>
      <c r="I44" s="2349"/>
      <c r="J44" s="2349"/>
      <c r="K44" s="2349"/>
      <c r="L44" s="2349"/>
      <c r="M44" s="2349"/>
      <c r="N44" s="2349"/>
      <c r="O44" s="2349"/>
      <c r="P44" s="2349"/>
      <c r="Q44" s="2349"/>
      <c r="R44" s="2349"/>
      <c r="S44" s="2349"/>
      <c r="T44" s="2349"/>
      <c r="U44" s="2349"/>
      <c r="V44" s="2349"/>
      <c r="W44" s="2349"/>
      <c r="X44" s="2349"/>
      <c r="Y44" s="2349"/>
      <c r="Z44" s="2349"/>
      <c r="AA44" s="2349"/>
      <c r="AB44" s="2349"/>
      <c r="AC44" s="2349"/>
      <c r="AD44" s="2349"/>
      <c r="AE44" s="2349"/>
      <c r="AF44" s="2349"/>
      <c r="AG44" s="2349"/>
      <c r="AH44" s="2349"/>
      <c r="AI44" s="2349"/>
      <c r="AJ44" s="2349"/>
      <c r="AK44" s="2349"/>
      <c r="AL44" s="2349"/>
      <c r="AM44" s="2349"/>
      <c r="AN44" s="2349"/>
      <c r="AO44" s="2349"/>
      <c r="AP44" s="2349"/>
      <c r="AQ44" s="2349"/>
      <c r="AR44" s="2349"/>
      <c r="AS44" s="2349"/>
      <c r="AT44" s="2349"/>
      <c r="AU44" s="2349"/>
      <c r="AV44" s="2349"/>
      <c r="AW44" s="2349"/>
      <c r="AX44" s="2349"/>
      <c r="AY44" s="2349"/>
      <c r="AZ44" s="2349"/>
      <c r="BA44" s="2349"/>
      <c r="BB44" s="2349"/>
      <c r="BC44" s="2349"/>
      <c r="BD44" s="2349"/>
      <c r="BE44" s="2349"/>
      <c r="BF44" s="2349"/>
      <c r="BG44" s="2349"/>
      <c r="BH44" s="2349"/>
      <c r="BI44" s="2349"/>
      <c r="BJ44" s="2349"/>
      <c r="BK44" s="2349"/>
      <c r="BL44" s="2349"/>
      <c r="BM44" s="2349"/>
      <c r="BN44" s="2349"/>
      <c r="BO44" s="2349"/>
      <c r="BP44" s="2349"/>
      <c r="BQ44" s="2349"/>
      <c r="BR44" s="2349"/>
      <c r="BS44" s="2349"/>
      <c r="BT44" s="2349"/>
      <c r="BU44" s="2349"/>
      <c r="BV44" s="2349"/>
      <c r="BW44" s="2349"/>
      <c r="BX44" s="2349"/>
    </row>
    <row r="45" spans="1:76" s="204" customFormat="1" ht="12.95" customHeight="1" thickTop="1"/>
    <row r="46" spans="1:76" ht="12.95" customHeight="1">
      <c r="A46" s="404" t="s">
        <v>586</v>
      </c>
      <c r="C46" s="404" t="s">
        <v>281</v>
      </c>
    </row>
    <row r="47" spans="1:76" ht="12.95" customHeight="1">
      <c r="D47" s="404" t="s">
        <v>282</v>
      </c>
      <c r="AB47" s="2346">
        <f>'Sources and Uses Budget'!B105-MAX(IF('Sources and Uses Budget'!B15="",0,'Sources and Uses Budget'!B15),IF(Application!AG394="",0,Application!AG394))</f>
        <v>90329125</v>
      </c>
      <c r="AC47" s="2347"/>
      <c r="AD47" s="2347"/>
      <c r="AE47" s="2347"/>
      <c r="AF47" s="2348"/>
    </row>
    <row r="48" spans="1:76" ht="12.95" customHeight="1">
      <c r="D48" s="404" t="s">
        <v>21</v>
      </c>
      <c r="AB48" s="2346">
        <f>Application!AO639-MAX(IF('Sources and Uses Budget'!B15="",0,'Sources and Uses Budget'!B15),IF(Application!AG394="",0,Application!AG394))</f>
        <v>51285586</v>
      </c>
      <c r="AC48" s="2347"/>
      <c r="AD48" s="2347"/>
      <c r="AE48" s="2347"/>
      <c r="AF48" s="2348"/>
    </row>
    <row r="49" spans="1:76" ht="12.95" customHeight="1">
      <c r="D49" s="404" t="s">
        <v>91</v>
      </c>
      <c r="AB49" s="2346">
        <f>AB47-AB48</f>
        <v>39043539</v>
      </c>
      <c r="AC49" s="2347"/>
      <c r="AD49" s="2347"/>
      <c r="AE49" s="2347"/>
      <c r="AF49" s="2348"/>
    </row>
    <row r="50" spans="1:76" ht="12.95" customHeight="1">
      <c r="D50" s="404" t="s">
        <v>681</v>
      </c>
      <c r="AA50" s="415"/>
      <c r="AB50" s="2334">
        <v>0.88874706999999997</v>
      </c>
      <c r="AC50" s="2335"/>
      <c r="AD50" s="2335"/>
      <c r="AE50" s="2335"/>
      <c r="AF50" s="2336"/>
    </row>
    <row r="51" spans="1:76" s="417" customFormat="1" ht="12.95" customHeight="1">
      <c r="A51" s="402"/>
      <c r="B51" s="402"/>
      <c r="C51" s="402"/>
      <c r="D51" s="402"/>
      <c r="E51" s="2345" t="s">
        <v>1849</v>
      </c>
      <c r="F51" s="2345"/>
      <c r="G51" s="2345"/>
      <c r="H51" s="2345"/>
      <c r="I51" s="2345"/>
      <c r="J51" s="2345"/>
      <c r="K51" s="2345"/>
      <c r="L51" s="2345"/>
      <c r="M51" s="2345"/>
      <c r="N51" s="2345"/>
      <c r="O51" s="2345"/>
      <c r="P51" s="2345"/>
      <c r="Q51" s="2345"/>
      <c r="R51" s="2345"/>
      <c r="S51" s="2345"/>
      <c r="T51" s="2345"/>
      <c r="U51" s="2345"/>
      <c r="V51" s="2345"/>
      <c r="W51" s="2345"/>
      <c r="X51" s="2345"/>
      <c r="Y51" s="2345"/>
      <c r="Z51" s="2345"/>
      <c r="AA51" s="416"/>
      <c r="AB51" s="416"/>
      <c r="AC51" s="416"/>
      <c r="AD51" s="416"/>
      <c r="AE51" s="416"/>
      <c r="AF51" s="416"/>
      <c r="AG51" s="402"/>
      <c r="AH51" s="402"/>
      <c r="AI51" s="402"/>
      <c r="AJ51" s="402"/>
      <c r="AK51" s="402"/>
      <c r="AL51" s="402"/>
      <c r="AM51" s="402"/>
      <c r="AN51" s="402"/>
    </row>
    <row r="52" spans="1:76" s="417" customFormat="1" ht="12.95" customHeight="1">
      <c r="A52" s="402"/>
      <c r="B52" s="402"/>
      <c r="C52" s="402"/>
      <c r="D52" s="402"/>
      <c r="E52" s="2345"/>
      <c r="F52" s="2345"/>
      <c r="G52" s="2345"/>
      <c r="H52" s="2345"/>
      <c r="I52" s="2345"/>
      <c r="J52" s="2345"/>
      <c r="K52" s="2345"/>
      <c r="L52" s="2345"/>
      <c r="M52" s="2345"/>
      <c r="N52" s="2345"/>
      <c r="O52" s="2345"/>
      <c r="P52" s="2345"/>
      <c r="Q52" s="2345"/>
      <c r="R52" s="2345"/>
      <c r="S52" s="2345"/>
      <c r="T52" s="2345"/>
      <c r="U52" s="2345"/>
      <c r="V52" s="2345"/>
      <c r="W52" s="2345"/>
      <c r="X52" s="2345"/>
      <c r="Y52" s="2345"/>
      <c r="Z52" s="2345"/>
      <c r="AA52" s="418"/>
      <c r="AB52" s="418"/>
      <c r="AC52" s="418"/>
      <c r="AD52" s="418"/>
      <c r="AE52" s="418"/>
      <c r="AF52" s="418"/>
      <c r="AG52" s="419"/>
      <c r="AH52" s="402"/>
      <c r="AI52" s="402"/>
      <c r="AJ52" s="402"/>
      <c r="AK52" s="402"/>
      <c r="AL52" s="402"/>
      <c r="AM52" s="402"/>
      <c r="AN52" s="402"/>
    </row>
    <row r="53" spans="1:76" ht="12.95"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2.95" customHeight="1">
      <c r="D54" s="404" t="s">
        <v>331</v>
      </c>
      <c r="AB54" s="2346">
        <f>ROUND(IF(ISERROR((AB49/AB50)),0,(AB49/AB50)),0)</f>
        <v>43930990</v>
      </c>
      <c r="AC54" s="2347"/>
      <c r="AD54" s="2347"/>
      <c r="AE54" s="2347"/>
      <c r="AF54" s="2348"/>
    </row>
    <row r="55" spans="1:76" ht="12.95" customHeight="1">
      <c r="D55" s="404" t="s">
        <v>332</v>
      </c>
      <c r="AB55" s="2346">
        <f>(AB54/10)</f>
        <v>4393099</v>
      </c>
      <c r="AC55" s="2347"/>
      <c r="AD55" s="2347"/>
      <c r="AE55" s="2347"/>
      <c r="AF55" s="2348"/>
    </row>
    <row r="56" spans="1:76" ht="12.95" customHeight="1">
      <c r="D56" s="404" t="s">
        <v>756</v>
      </c>
      <c r="AB56" s="2346">
        <f>ROUND((IF((Y41&lt;AB55),Y41,AB55)),0)</f>
        <v>4393099</v>
      </c>
      <c r="AC56" s="2347"/>
      <c r="AD56" s="2347"/>
      <c r="AE56" s="2347"/>
      <c r="AF56" s="2348"/>
    </row>
    <row r="57" spans="1:76" ht="12.95" customHeight="1">
      <c r="D57" s="404" t="s">
        <v>755</v>
      </c>
      <c r="AB57" s="2346">
        <f>ROUND((10*AB56*AB50),0)</f>
        <v>39043539</v>
      </c>
      <c r="AC57" s="2347"/>
      <c r="AD57" s="2347"/>
      <c r="AE57" s="2347"/>
      <c r="AF57" s="2348"/>
    </row>
    <row r="58" spans="1:76" ht="12.95" customHeight="1">
      <c r="D58" s="404"/>
      <c r="AB58" s="423"/>
      <c r="AC58" s="423"/>
      <c r="AD58" s="423"/>
      <c r="AE58" s="423"/>
      <c r="AF58" s="423"/>
    </row>
    <row r="59" spans="1:76" ht="12.95" customHeight="1">
      <c r="D59" s="404" t="s">
        <v>754</v>
      </c>
      <c r="AB59" s="2330">
        <f>AB49-AB57</f>
        <v>0</v>
      </c>
      <c r="AC59" s="2330"/>
      <c r="AD59" s="2330"/>
      <c r="AE59" s="2330"/>
      <c r="AF59" s="2330"/>
    </row>
    <row r="60" spans="1:76" ht="12.95" customHeight="1">
      <c r="D60" s="404"/>
      <c r="AB60" s="423"/>
      <c r="AC60" s="423"/>
      <c r="AD60" s="423"/>
      <c r="AE60" s="423"/>
      <c r="AF60" s="423"/>
    </row>
    <row r="61" spans="1:76" s="204" customFormat="1" ht="12.95" customHeight="1" thickBot="1">
      <c r="A61" s="2349" t="str">
        <f>IF(Application!AP205="yes","Farmworker State Credit", "State Credit" )</f>
        <v>State Credit</v>
      </c>
      <c r="B61" s="2349"/>
      <c r="C61" s="2349"/>
      <c r="D61" s="2349"/>
      <c r="E61" s="2349"/>
      <c r="F61" s="2349"/>
      <c r="G61" s="2349"/>
      <c r="H61" s="2349"/>
      <c r="I61" s="2349"/>
      <c r="J61" s="2349"/>
      <c r="K61" s="2349"/>
      <c r="L61" s="2349"/>
      <c r="M61" s="2349"/>
      <c r="N61" s="2349"/>
      <c r="O61" s="2349"/>
      <c r="P61" s="2349"/>
      <c r="Q61" s="2349"/>
      <c r="R61" s="2349"/>
      <c r="S61" s="2349"/>
      <c r="T61" s="2349"/>
      <c r="U61" s="2349"/>
      <c r="V61" s="2349"/>
      <c r="W61" s="2349"/>
      <c r="X61" s="2349"/>
      <c r="Y61" s="2349"/>
      <c r="Z61" s="2349"/>
      <c r="AA61" s="2349"/>
      <c r="AB61" s="2349"/>
      <c r="AC61" s="2349"/>
      <c r="AD61" s="2349"/>
      <c r="AE61" s="2349"/>
      <c r="AF61" s="2349"/>
      <c r="AG61" s="2349"/>
      <c r="AH61" s="2349"/>
      <c r="AI61" s="2349"/>
      <c r="AJ61" s="2349"/>
      <c r="AK61" s="2349"/>
      <c r="AL61" s="2349"/>
      <c r="AM61" s="2349"/>
      <c r="AN61" s="2349"/>
      <c r="AO61" s="2349"/>
      <c r="AP61" s="2349"/>
      <c r="AQ61" s="2349"/>
      <c r="AR61" s="2349"/>
      <c r="AS61" s="2349"/>
      <c r="AT61" s="2349"/>
      <c r="AU61" s="2349"/>
      <c r="AV61" s="2349"/>
      <c r="AW61" s="2349"/>
      <c r="AX61" s="2349"/>
      <c r="AY61" s="2349"/>
      <c r="AZ61" s="2349"/>
      <c r="BA61" s="2349"/>
      <c r="BB61" s="2349"/>
      <c r="BC61" s="2349"/>
      <c r="BD61" s="2349"/>
      <c r="BE61" s="2349"/>
      <c r="BF61" s="2349"/>
      <c r="BG61" s="2349"/>
      <c r="BH61" s="2349"/>
      <c r="BI61" s="2349"/>
      <c r="BJ61" s="2349"/>
      <c r="BK61" s="2349"/>
      <c r="BL61" s="2349"/>
      <c r="BM61" s="2349"/>
      <c r="BN61" s="2349"/>
      <c r="BO61" s="2349"/>
      <c r="BP61" s="2349"/>
      <c r="BQ61" s="2349"/>
      <c r="BR61" s="2349"/>
      <c r="BS61" s="2349"/>
      <c r="BT61" s="2349"/>
      <c r="BU61" s="2349"/>
      <c r="BV61" s="2349"/>
      <c r="BW61" s="2349"/>
      <c r="BX61" s="2349"/>
    </row>
    <row r="62" spans="1:76" s="204" customFormat="1" ht="12.95" customHeight="1" thickTop="1"/>
    <row r="63" spans="1:76" ht="12.95" customHeight="1">
      <c r="A63" s="404" t="s">
        <v>589</v>
      </c>
      <c r="C63" s="205" t="s">
        <v>1247</v>
      </c>
      <c r="Y63" s="2341" t="s">
        <v>983</v>
      </c>
      <c r="Z63" s="2341"/>
      <c r="AA63" s="2341"/>
      <c r="AB63" s="2341"/>
      <c r="AC63" s="2341"/>
      <c r="AD63" s="2341" t="s">
        <v>368</v>
      </c>
      <c r="AE63" s="2341"/>
      <c r="AF63" s="2341"/>
      <c r="AG63" s="2341"/>
      <c r="AH63" s="2341"/>
    </row>
    <row r="64" spans="1:76" ht="12.95" customHeight="1">
      <c r="C64" s="404"/>
      <c r="D64" s="377" t="s">
        <v>1248</v>
      </c>
      <c r="E64" s="420"/>
      <c r="F64" s="420"/>
      <c r="G64" s="420"/>
      <c r="H64" s="420"/>
      <c r="I64" s="420"/>
      <c r="J64" s="420"/>
      <c r="K64" s="420"/>
      <c r="L64" s="420"/>
      <c r="M64" s="420"/>
      <c r="N64" s="420"/>
      <c r="O64" s="420"/>
      <c r="P64" s="420"/>
      <c r="Q64" s="420"/>
      <c r="R64" s="420"/>
      <c r="S64" s="420"/>
      <c r="T64" s="420"/>
      <c r="U64" s="420"/>
      <c r="V64" s="420"/>
      <c r="W64" s="420"/>
      <c r="X64" s="420"/>
      <c r="Y64" s="2342">
        <f>IF(Application!$Z$205="(select)",0,((T23*T27)+Y28))</f>
        <v>84482680</v>
      </c>
      <c r="Z64" s="2343"/>
      <c r="AA64" s="2343"/>
      <c r="AB64" s="2343"/>
      <c r="AC64" s="2344"/>
      <c r="AD64" s="2342">
        <f>IF(AND(OR(Application!D211="At-Risk",Application!D211="At-Risk and Special Needs"),Application!M358="yes"),AD28+AI28,0)</f>
        <v>0</v>
      </c>
      <c r="AE64" s="2343"/>
      <c r="AF64" s="2343"/>
      <c r="AG64" s="2343"/>
      <c r="AH64" s="2344"/>
    </row>
    <row r="65" spans="1:36" ht="12.95" customHeight="1">
      <c r="C65" s="404"/>
      <c r="E65" s="1017" t="s">
        <v>1847</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1848</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2.95" customHeight="1">
      <c r="C67" s="404"/>
      <c r="D67" s="404" t="s">
        <v>269</v>
      </c>
      <c r="E67" s="421"/>
      <c r="F67" s="421"/>
      <c r="G67" s="421"/>
      <c r="H67" s="421"/>
      <c r="I67" s="421"/>
      <c r="J67" s="421"/>
      <c r="K67" s="421"/>
      <c r="L67" s="421"/>
      <c r="M67" s="421"/>
      <c r="N67" s="421"/>
      <c r="O67" s="421"/>
      <c r="P67" s="421"/>
      <c r="Q67" s="421"/>
      <c r="R67" s="421"/>
      <c r="S67" s="421"/>
      <c r="T67" s="421"/>
      <c r="U67" s="421"/>
      <c r="V67" s="421"/>
      <c r="W67" s="421"/>
      <c r="X67" s="421"/>
      <c r="Y67" s="2331" cm="1">
        <f t="array" ref="Y67">_xlfn.IFS(OR(Application!Z205="State Farmworker Credit",Application!Z205="$500M (Farmworker Housing)"),0.75,Application!Z205="15% set-aside",0.13,Application!Z205="15% set-aside with qualifying low value rehab",0.95,Application!Z205="$500M",0.3,TRUE,0)</f>
        <v>0.3</v>
      </c>
      <c r="Z67" s="2331"/>
      <c r="AA67" s="2331"/>
      <c r="AB67" s="2331"/>
      <c r="AC67" s="2331"/>
      <c r="AD67" s="2331" cm="1">
        <f t="array" ref="AD67">_xlfn.IFS(Application!Z205="15% set-aside with qualifying low value rehab", 0.95,OR(Application!D211="At-Risk",'Points System'!B13="Yes"),0.13,TRUE,0)</f>
        <v>0</v>
      </c>
      <c r="AE67" s="2331"/>
      <c r="AF67" s="2331"/>
      <c r="AG67" s="2331"/>
      <c r="AH67" s="2331"/>
    </row>
    <row r="68" spans="1:36" ht="12.95" customHeight="1">
      <c r="C68" s="404"/>
      <c r="D68" s="205" t="s">
        <v>2224</v>
      </c>
      <c r="Y68" s="2332">
        <f>ROUND(Y64*Y67,0)</f>
        <v>25344804</v>
      </c>
      <c r="Z68" s="2333"/>
      <c r="AA68" s="2333"/>
      <c r="AB68" s="2333"/>
      <c r="AC68" s="2333"/>
      <c r="AD68" s="2332">
        <f>ROUND(AD64*AD67,0)</f>
        <v>0</v>
      </c>
      <c r="AE68" s="2333"/>
      <c r="AF68" s="2333"/>
      <c r="AG68" s="2333"/>
      <c r="AH68" s="2333"/>
    </row>
    <row r="69" spans="1:36" ht="12.95" customHeight="1">
      <c r="C69" s="404"/>
      <c r="D69" s="205" t="s">
        <v>2225</v>
      </c>
      <c r="Y69" s="2332">
        <f>IF(OR(Application!Z205="State Farmworker Credit",Application!Z205="$500M (Farmworker Housing)"),Y68+AD68,MIN(Y68+AD68,200000*(Application!G753+Application!O777)))</f>
        <v>25344804</v>
      </c>
      <c r="Z69" s="2332"/>
      <c r="AA69" s="2332"/>
      <c r="AB69" s="2332"/>
      <c r="AC69" s="2332"/>
      <c r="AD69" s="2332"/>
      <c r="AE69" s="2332"/>
      <c r="AF69" s="2332"/>
      <c r="AG69" s="2332"/>
      <c r="AH69" s="2332"/>
    </row>
    <row r="70" spans="1:36" ht="12.95" customHeight="1">
      <c r="C70" s="404"/>
      <c r="E70" s="404"/>
      <c r="AB70" s="422"/>
      <c r="AC70" s="422"/>
      <c r="AD70" s="422"/>
      <c r="AE70" s="422"/>
      <c r="AF70" s="422"/>
    </row>
    <row r="71" spans="1:36" ht="12.95" customHeight="1">
      <c r="A71" s="404" t="s">
        <v>590</v>
      </c>
      <c r="C71" s="205" t="s">
        <v>283</v>
      </c>
    </row>
    <row r="72" spans="1:36" ht="12.95" customHeight="1">
      <c r="A72" s="404"/>
      <c r="C72" s="404"/>
      <c r="D72" s="205" t="s">
        <v>1249</v>
      </c>
      <c r="AB72" s="2334"/>
      <c r="AC72" s="2335"/>
      <c r="AD72" s="2335"/>
      <c r="AE72" s="2335"/>
      <c r="AF72" s="2336"/>
    </row>
    <row r="73" spans="1:36" ht="12.95" customHeight="1">
      <c r="A73" s="404"/>
      <c r="C73" s="404"/>
      <c r="D73" s="404"/>
      <c r="E73" s="2337" t="s">
        <v>1250</v>
      </c>
      <c r="F73" s="2337"/>
      <c r="G73" s="2337"/>
      <c r="H73" s="2337"/>
      <c r="I73" s="2337"/>
      <c r="J73" s="2337"/>
      <c r="K73" s="2337"/>
      <c r="L73" s="2337"/>
      <c r="M73" s="2337"/>
      <c r="N73" s="2337"/>
      <c r="O73" s="2337"/>
      <c r="P73" s="2337"/>
      <c r="Q73" s="2337"/>
      <c r="R73" s="2337"/>
      <c r="S73" s="2337"/>
      <c r="T73" s="2337"/>
      <c r="U73" s="2337"/>
      <c r="V73" s="2337"/>
      <c r="W73" s="2337"/>
      <c r="X73" s="2337"/>
      <c r="Y73" s="2337"/>
      <c r="Z73" s="2337"/>
      <c r="AA73" s="2337"/>
      <c r="AB73" s="438"/>
      <c r="AC73" s="438"/>
    </row>
    <row r="74" spans="1:36" ht="12.95" customHeight="1">
      <c r="A74" s="404"/>
      <c r="C74" s="404"/>
      <c r="D74" s="404"/>
      <c r="E74" s="2337"/>
      <c r="F74" s="2337"/>
      <c r="G74" s="2337"/>
      <c r="H74" s="2337"/>
      <c r="I74" s="2337"/>
      <c r="J74" s="2337"/>
      <c r="K74" s="2337"/>
      <c r="L74" s="2337"/>
      <c r="M74" s="2337"/>
      <c r="N74" s="2337"/>
      <c r="O74" s="2337"/>
      <c r="P74" s="2337"/>
      <c r="Q74" s="2337"/>
      <c r="R74" s="2337"/>
      <c r="S74" s="2337"/>
      <c r="T74" s="2337"/>
      <c r="U74" s="2337"/>
      <c r="V74" s="2337"/>
      <c r="W74" s="2337"/>
      <c r="X74" s="2337"/>
      <c r="Y74" s="2337"/>
      <c r="Z74" s="2337"/>
      <c r="AA74" s="2337"/>
      <c r="AB74" s="438"/>
      <c r="AC74" s="438"/>
    </row>
    <row r="75" spans="1:36" ht="12.95" customHeight="1">
      <c r="A75" s="404"/>
      <c r="C75" s="404"/>
      <c r="D75" s="404"/>
      <c r="E75" s="2337"/>
      <c r="F75" s="2337"/>
      <c r="G75" s="2337"/>
      <c r="H75" s="2337"/>
      <c r="I75" s="2337"/>
      <c r="J75" s="2337"/>
      <c r="K75" s="2337"/>
      <c r="L75" s="2337"/>
      <c r="M75" s="2337"/>
      <c r="N75" s="2337"/>
      <c r="O75" s="2337"/>
      <c r="P75" s="2337"/>
      <c r="Q75" s="2337"/>
      <c r="R75" s="2337"/>
      <c r="S75" s="2337"/>
      <c r="T75" s="2337"/>
      <c r="U75" s="2337"/>
      <c r="V75" s="2337"/>
      <c r="W75" s="2337"/>
      <c r="X75" s="2337"/>
      <c r="Y75" s="2337"/>
      <c r="Z75" s="2337"/>
      <c r="AA75" s="2337"/>
      <c r="AB75" s="438"/>
      <c r="AC75" s="438"/>
    </row>
    <row r="76" spans="1:36" ht="12.95"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2.95" customHeight="1">
      <c r="C77" s="404"/>
      <c r="D77" s="205" t="s">
        <v>1251</v>
      </c>
      <c r="AB77" s="2325">
        <f>ROUND(IF(ISERROR((AB59/AB72)),0,(AB59/AB72)),0)</f>
        <v>0</v>
      </c>
      <c r="AC77" s="2325"/>
      <c r="AD77" s="2325"/>
      <c r="AE77" s="2325"/>
      <c r="AF77" s="2325"/>
    </row>
    <row r="78" spans="1:36" ht="12.95" customHeight="1">
      <c r="C78" s="404"/>
      <c r="D78" s="205" t="s">
        <v>1252</v>
      </c>
      <c r="AB78" s="2326">
        <f>ROUNDUP(MIN(Y69,AB77),0)</f>
        <v>0</v>
      </c>
      <c r="AC78" s="2327"/>
      <c r="AD78" s="2327"/>
      <c r="AE78" s="2327"/>
      <c r="AF78" s="2328"/>
    </row>
    <row r="79" spans="1:36" ht="12.95" customHeight="1">
      <c r="C79" s="404"/>
      <c r="D79" s="205" t="s">
        <v>1253</v>
      </c>
      <c r="AB79" s="2329">
        <f>AB78*AB72</f>
        <v>0</v>
      </c>
      <c r="AC79" s="2329"/>
      <c r="AD79" s="2329"/>
      <c r="AE79" s="2329"/>
      <c r="AF79" s="2329"/>
    </row>
    <row r="80" spans="1:36" ht="12.95" customHeight="1">
      <c r="C80" s="404"/>
      <c r="D80" s="404"/>
      <c r="AB80" s="425"/>
      <c r="AC80" s="425"/>
      <c r="AD80" s="425"/>
      <c r="AE80" s="425"/>
      <c r="AF80" s="425"/>
    </row>
    <row r="81" spans="1:78" ht="12.95" customHeight="1">
      <c r="D81" s="404" t="s">
        <v>754</v>
      </c>
      <c r="AB81" s="2330">
        <f>AB49-(AB57+AB79)</f>
        <v>0</v>
      </c>
      <c r="AC81" s="2330"/>
      <c r="AD81" s="2330"/>
      <c r="AE81" s="2330"/>
      <c r="AF81" s="2330"/>
    </row>
    <row r="82" spans="1:78" ht="12.95" customHeight="1">
      <c r="F82" s="522"/>
      <c r="J82" s="522" t="str">
        <f>IF(AB81&gt;0,"FUNDING GAP MUST NOT EXCEED ZERO","")</f>
        <v/>
      </c>
    </row>
    <row r="83" spans="1:78" ht="12.95" customHeight="1">
      <c r="D83" s="523"/>
    </row>
    <row r="84" spans="1:78" ht="12.95" customHeight="1" thickBot="1">
      <c r="A84" s="2349"/>
      <c r="B84" s="2349"/>
      <c r="C84" s="2349"/>
      <c r="D84" s="2349"/>
      <c r="E84" s="2349"/>
      <c r="F84" s="2349"/>
      <c r="G84" s="2349"/>
      <c r="H84" s="2349"/>
      <c r="I84" s="2349"/>
      <c r="J84" s="2349"/>
      <c r="K84" s="2349"/>
      <c r="L84" s="2349"/>
      <c r="M84" s="2349"/>
      <c r="N84" s="2349"/>
      <c r="O84" s="2349"/>
      <c r="P84" s="2349"/>
      <c r="Q84" s="2349"/>
      <c r="R84" s="2349"/>
      <c r="S84" s="2349"/>
      <c r="T84" s="2349"/>
      <c r="U84" s="2349"/>
      <c r="V84" s="2349"/>
      <c r="W84" s="2349"/>
      <c r="X84" s="2349"/>
      <c r="Y84" s="2349"/>
      <c r="Z84" s="2349"/>
      <c r="AA84" s="2349"/>
      <c r="AB84" s="2349"/>
      <c r="AC84" s="2349"/>
      <c r="AD84" s="2349"/>
      <c r="AE84" s="2349"/>
      <c r="AF84" s="2349"/>
      <c r="AG84" s="2349"/>
      <c r="AH84" s="2349"/>
      <c r="AI84" s="2349"/>
      <c r="AJ84" s="2349"/>
      <c r="AK84" s="2349"/>
      <c r="AL84" s="2349"/>
      <c r="AM84" s="2349"/>
      <c r="AN84" s="2349"/>
      <c r="AO84" s="2349"/>
      <c r="AP84" s="2349"/>
      <c r="AQ84" s="2349"/>
      <c r="AR84" s="2349"/>
      <c r="AS84" s="2349"/>
      <c r="AT84" s="2349"/>
      <c r="AU84" s="2349"/>
      <c r="AV84" s="2349"/>
      <c r="AW84" s="2349"/>
      <c r="AX84" s="2349"/>
      <c r="AY84" s="2349"/>
      <c r="AZ84" s="2349"/>
      <c r="BA84" s="2349"/>
      <c r="BB84" s="2349"/>
      <c r="BC84" s="2349"/>
      <c r="BD84" s="2349"/>
      <c r="BE84" s="2349"/>
      <c r="BF84" s="2349"/>
      <c r="BG84" s="2349"/>
      <c r="BH84" s="2349"/>
      <c r="BI84" s="2349"/>
      <c r="BJ84" s="2349"/>
      <c r="BK84" s="2349"/>
      <c r="BL84" s="2349"/>
      <c r="BM84" s="2349"/>
      <c r="BN84" s="2349"/>
      <c r="BO84" s="2349"/>
      <c r="BP84" s="2349"/>
      <c r="BQ84" s="2349"/>
      <c r="BR84" s="2349"/>
      <c r="BS84" s="2349"/>
      <c r="BT84" s="2349"/>
      <c r="BU84" s="2349"/>
      <c r="BV84" s="2349"/>
      <c r="BW84" s="2349"/>
      <c r="BX84" s="2349"/>
    </row>
    <row r="85" spans="1:78" ht="12.95" customHeight="1" thickTop="1"/>
    <row r="86" spans="1:78" ht="12.95" customHeight="1">
      <c r="A86" s="404"/>
      <c r="C86" s="205"/>
    </row>
    <row r="87" spans="1:78" ht="12.95" customHeight="1">
      <c r="D87" s="205"/>
      <c r="AB87" s="2381"/>
      <c r="AC87" s="2381"/>
      <c r="AD87" s="2381"/>
      <c r="AE87" s="2381"/>
      <c r="AF87" s="2381"/>
    </row>
    <row r="88" spans="1:78" ht="12.95" customHeight="1" thickBot="1">
      <c r="D88" s="205"/>
      <c r="AB88" s="2380"/>
      <c r="AC88" s="2380"/>
      <c r="AD88" s="2380"/>
      <c r="AE88" s="2380"/>
      <c r="AF88" s="2380"/>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2.95" customHeight="1" thickTop="1"/>
  </sheetData>
  <sheetProtection algorithmName="SHA-512" hashValue="Ozp0JcLS8Ad+MKfIDKYwLzxgKer7KTR3Ibh34CcQ+GBsI2KA16dLqlCvW/JdYSPiMK3c0XBe2GNpB1jAf8ETrQ==" saltValue="OXZBnsgKaPChqpwQBRQHSw=="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1"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776" workbookViewId="0">
      <selection activeCell="AD200" sqref="AD200:AJ200"/>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34"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423" t="s">
        <v>1299</v>
      </c>
      <c r="B1" s="2423"/>
      <c r="C1" s="2423"/>
      <c r="D1" s="2423"/>
      <c r="E1" s="2423"/>
      <c r="F1" s="2423"/>
      <c r="G1" s="2423"/>
      <c r="H1" s="2423"/>
      <c r="I1" s="2423"/>
      <c r="J1" s="2423"/>
      <c r="K1" s="2423"/>
      <c r="L1" s="2423"/>
      <c r="M1" s="2423"/>
      <c r="N1" s="2423"/>
      <c r="O1" s="2423"/>
      <c r="P1" s="2423"/>
      <c r="Q1" s="2423"/>
      <c r="R1" s="2423"/>
      <c r="S1" s="2423"/>
      <c r="T1" s="2423"/>
      <c r="U1" s="2423"/>
      <c r="V1" s="2423"/>
      <c r="W1" s="2423"/>
      <c r="X1" s="2423"/>
      <c r="Y1" s="2423"/>
      <c r="Z1" s="2423"/>
      <c r="AA1" s="2423"/>
      <c r="AB1" s="2423"/>
      <c r="AC1" s="2423"/>
      <c r="AD1" s="2423"/>
      <c r="AE1" s="2423"/>
      <c r="AF1" s="2423"/>
      <c r="AG1" s="2423"/>
      <c r="AH1" s="2423"/>
      <c r="AI1" s="2423"/>
      <c r="AJ1" s="2423"/>
      <c r="AK1" s="2423"/>
      <c r="AL1" s="2423"/>
      <c r="AM1" s="2423"/>
    </row>
    <row r="2" spans="1:42" s="536" customFormat="1" ht="12.75" customHeight="1" thickBot="1">
      <c r="A2" s="2424"/>
      <c r="B2" s="2424"/>
      <c r="C2" s="2424"/>
      <c r="D2" s="2424"/>
      <c r="E2" s="2424"/>
      <c r="F2" s="2424"/>
      <c r="G2" s="2424"/>
      <c r="H2" s="2424"/>
      <c r="I2" s="2424"/>
      <c r="J2" s="2424"/>
      <c r="K2" s="2424"/>
      <c r="L2" s="2424"/>
      <c r="M2" s="2424"/>
      <c r="N2" s="2424"/>
      <c r="O2" s="2424"/>
      <c r="P2" s="2424"/>
      <c r="Q2" s="2424"/>
      <c r="R2" s="2424"/>
      <c r="S2" s="2424"/>
      <c r="T2" s="2424"/>
      <c r="U2" s="2424"/>
      <c r="V2" s="2424"/>
      <c r="W2" s="2424"/>
      <c r="X2" s="2424"/>
      <c r="Y2" s="2424"/>
      <c r="Z2" s="2424"/>
      <c r="AA2" s="2424"/>
      <c r="AB2" s="2424"/>
      <c r="AC2" s="2424"/>
      <c r="AD2" s="2424"/>
      <c r="AE2" s="2424"/>
      <c r="AF2" s="2424"/>
      <c r="AG2" s="2424"/>
      <c r="AH2" s="2424"/>
      <c r="AI2" s="2424"/>
      <c r="AJ2" s="2424"/>
      <c r="AK2" s="2424"/>
      <c r="AL2" s="2424"/>
      <c r="AM2" s="2424"/>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1300</v>
      </c>
      <c r="B4" s="539" t="s">
        <v>1301</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1302</v>
      </c>
      <c r="B7" s="539" t="s">
        <v>1303</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04" t="s">
        <v>1304</v>
      </c>
      <c r="AF7" s="2404"/>
      <c r="AG7" s="2404"/>
      <c r="AH7" s="2404"/>
      <c r="AI7" s="2404"/>
      <c r="AJ7" s="2404"/>
      <c r="AK7" s="2404"/>
      <c r="AL7" s="540"/>
      <c r="AM7" s="540"/>
      <c r="AN7" s="535"/>
    </row>
    <row r="8" spans="1:42" s="536" customFormat="1" ht="12.75" customHeight="1">
      <c r="A8" s="538"/>
      <c r="B8" s="539" t="s">
        <v>1728</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2010</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2006</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394" t="s">
        <v>591</v>
      </c>
      <c r="C13" s="2394"/>
      <c r="D13" s="547"/>
      <c r="E13" s="548" t="s">
        <v>1305</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425"/>
      <c r="AH13" s="2425"/>
      <c r="AI13" s="2425"/>
      <c r="AJ13" s="2426"/>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394" t="s">
        <v>591</v>
      </c>
      <c r="C16" s="2394"/>
      <c r="D16" s="547"/>
      <c r="E16" s="2405" t="s">
        <v>1306</v>
      </c>
      <c r="F16" s="2406"/>
      <c r="G16" s="2406"/>
      <c r="H16" s="2406"/>
      <c r="I16" s="2406"/>
      <c r="J16" s="2406"/>
      <c r="K16" s="2406"/>
      <c r="L16" s="2406"/>
      <c r="M16" s="2406"/>
      <c r="N16" s="2406"/>
      <c r="O16" s="2406"/>
      <c r="P16" s="2406"/>
      <c r="Q16" s="2406"/>
      <c r="R16" s="2406"/>
      <c r="S16" s="2406"/>
      <c r="T16" s="2406"/>
      <c r="U16" s="2406"/>
      <c r="V16" s="2406"/>
      <c r="W16" s="2406"/>
      <c r="X16" s="2406"/>
      <c r="Y16" s="2406"/>
      <c r="Z16" s="2406"/>
      <c r="AA16" s="2406"/>
      <c r="AB16" s="2406"/>
      <c r="AC16" s="2406"/>
      <c r="AD16" s="2406"/>
      <c r="AE16" s="2406"/>
      <c r="AF16" s="2406"/>
      <c r="AG16" s="2406"/>
      <c r="AH16" s="2406"/>
      <c r="AI16" s="2406"/>
      <c r="AJ16" s="2407"/>
      <c r="AK16" s="540"/>
      <c r="AL16" s="540"/>
      <c r="AM16" s="540"/>
      <c r="AN16" s="535"/>
      <c r="AO16" s="550">
        <f>IF($B25="yes",20,0)</f>
        <v>0</v>
      </c>
      <c r="AP16" s="14"/>
    </row>
    <row r="17" spans="1:42" s="536" customFormat="1" ht="12.75" customHeight="1">
      <c r="A17" s="540"/>
      <c r="B17" s="540"/>
      <c r="C17" s="540"/>
      <c r="D17" s="551"/>
      <c r="E17" s="2408"/>
      <c r="F17" s="2409"/>
      <c r="G17" s="2409"/>
      <c r="H17" s="2409"/>
      <c r="I17" s="2409"/>
      <c r="J17" s="2409"/>
      <c r="K17" s="2409"/>
      <c r="L17" s="2409"/>
      <c r="M17" s="2409"/>
      <c r="N17" s="2409"/>
      <c r="O17" s="2409"/>
      <c r="P17" s="2409"/>
      <c r="Q17" s="2409"/>
      <c r="R17" s="2409"/>
      <c r="S17" s="2409"/>
      <c r="T17" s="2409"/>
      <c r="U17" s="2409"/>
      <c r="V17" s="2409"/>
      <c r="W17" s="2409"/>
      <c r="X17" s="2409"/>
      <c r="Y17" s="2409"/>
      <c r="Z17" s="2409"/>
      <c r="AA17" s="2409"/>
      <c r="AB17" s="2409"/>
      <c r="AC17" s="2409"/>
      <c r="AD17" s="2409"/>
      <c r="AE17" s="2409"/>
      <c r="AF17" s="2409"/>
      <c r="AG17" s="2409"/>
      <c r="AH17" s="2409"/>
      <c r="AI17" s="2409"/>
      <c r="AJ17" s="2410"/>
      <c r="AK17" s="540"/>
      <c r="AL17" s="540"/>
      <c r="AM17" s="540"/>
      <c r="AN17" s="535"/>
      <c r="AO17" s="550">
        <f>IF($B28="yes",20,0)</f>
        <v>0</v>
      </c>
    </row>
    <row r="18" spans="1:42" s="536" customFormat="1" ht="12.75" customHeight="1">
      <c r="A18" s="540"/>
      <c r="B18" s="540"/>
      <c r="C18" s="540"/>
      <c r="D18" s="551"/>
      <c r="E18" s="2408"/>
      <c r="F18" s="2409"/>
      <c r="G18" s="2409"/>
      <c r="H18" s="2409"/>
      <c r="I18" s="2409"/>
      <c r="J18" s="2409"/>
      <c r="K18" s="2409"/>
      <c r="L18" s="2409"/>
      <c r="M18" s="2409"/>
      <c r="N18" s="2409"/>
      <c r="O18" s="2409"/>
      <c r="P18" s="2409"/>
      <c r="Q18" s="2409"/>
      <c r="R18" s="2409"/>
      <c r="S18" s="2409"/>
      <c r="T18" s="2409"/>
      <c r="U18" s="2409"/>
      <c r="V18" s="2409"/>
      <c r="W18" s="2409"/>
      <c r="X18" s="2409"/>
      <c r="Y18" s="2409"/>
      <c r="Z18" s="2409"/>
      <c r="AA18" s="2409"/>
      <c r="AB18" s="2409"/>
      <c r="AC18" s="2409"/>
      <c r="AD18" s="2409"/>
      <c r="AE18" s="2409"/>
      <c r="AF18" s="2409"/>
      <c r="AG18" s="2409"/>
      <c r="AH18" s="2409"/>
      <c r="AI18" s="2409"/>
      <c r="AJ18" s="2410"/>
      <c r="AK18" s="540"/>
      <c r="AL18" s="540"/>
      <c r="AM18" s="540"/>
      <c r="AN18" s="535"/>
      <c r="AO18" s="536">
        <f>IF(SUM(AO13:AO16)&gt;20,20,(SUM(AO13:AO16)))</f>
        <v>0</v>
      </c>
      <c r="AP18" s="536" t="s">
        <v>1307</v>
      </c>
    </row>
    <row r="19" spans="1:42" s="536" customFormat="1" ht="12.75" customHeight="1">
      <c r="A19" s="540"/>
      <c r="B19" s="540"/>
      <c r="C19" s="540"/>
      <c r="D19" s="551"/>
      <c r="E19" s="552" t="s">
        <v>1308</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436"/>
      <c r="F20" s="2437"/>
      <c r="G20" s="2437"/>
      <c r="H20" s="2437"/>
      <c r="I20" s="2437"/>
      <c r="J20" s="2437"/>
      <c r="K20" s="2437"/>
      <c r="L20" s="2437"/>
      <c r="M20" s="2437"/>
      <c r="N20" s="2437"/>
      <c r="O20" s="2437"/>
      <c r="P20" s="2437"/>
      <c r="Q20" s="2437"/>
      <c r="R20" s="2437"/>
      <c r="S20" s="2437"/>
      <c r="T20" s="2437"/>
      <c r="U20" s="2437"/>
      <c r="V20" s="2437"/>
      <c r="W20" s="2437"/>
      <c r="X20" s="2437"/>
      <c r="Y20" s="2437"/>
      <c r="Z20" s="2437"/>
      <c r="AA20" s="2437"/>
      <c r="AB20" s="2437"/>
      <c r="AC20" s="2437"/>
      <c r="AD20" s="2437"/>
      <c r="AE20" s="2437"/>
      <c r="AF20" s="2437"/>
      <c r="AG20" s="2437"/>
      <c r="AH20" s="2437"/>
      <c r="AI20" s="2437"/>
      <c r="AJ20" s="2438"/>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394" t="s">
        <v>591</v>
      </c>
      <c r="C22" s="2394"/>
      <c r="D22" s="547"/>
      <c r="E22" s="2430" t="s">
        <v>1309</v>
      </c>
      <c r="F22" s="2431"/>
      <c r="G22" s="2431"/>
      <c r="H22" s="2431"/>
      <c r="I22" s="2431"/>
      <c r="J22" s="2431"/>
      <c r="K22" s="2431"/>
      <c r="L22" s="2431"/>
      <c r="M22" s="2431"/>
      <c r="N22" s="2431"/>
      <c r="O22" s="2431"/>
      <c r="P22" s="2431"/>
      <c r="Q22" s="2431"/>
      <c r="R22" s="2431"/>
      <c r="S22" s="2431"/>
      <c r="T22" s="2431"/>
      <c r="U22" s="2431"/>
      <c r="V22" s="2431"/>
      <c r="W22" s="2431"/>
      <c r="X22" s="2431"/>
      <c r="Y22" s="2431"/>
      <c r="Z22" s="2431"/>
      <c r="AA22" s="2431"/>
      <c r="AB22" s="2431"/>
      <c r="AC22" s="2431"/>
      <c r="AD22" s="2431"/>
      <c r="AE22" s="2431"/>
      <c r="AF22" s="2431"/>
      <c r="AG22" s="2431"/>
      <c r="AH22" s="2431"/>
      <c r="AI22" s="2431"/>
      <c r="AJ22" s="2432"/>
      <c r="AK22" s="540"/>
      <c r="AL22" s="540"/>
      <c r="AM22" s="540"/>
      <c r="AN22" s="535"/>
      <c r="AO22" s="550">
        <f>IF($B40="yes",14,0)</f>
        <v>0</v>
      </c>
    </row>
    <row r="23" spans="1:42" s="536" customFormat="1" ht="12.75" customHeight="1">
      <c r="A23" s="540"/>
      <c r="B23" s="540"/>
      <c r="C23" s="540"/>
      <c r="D23" s="550"/>
      <c r="E23" s="2433"/>
      <c r="F23" s="2434"/>
      <c r="G23" s="2434"/>
      <c r="H23" s="2434"/>
      <c r="I23" s="2434"/>
      <c r="J23" s="2434"/>
      <c r="K23" s="2434"/>
      <c r="L23" s="2434"/>
      <c r="M23" s="2434"/>
      <c r="N23" s="2434"/>
      <c r="O23" s="2434"/>
      <c r="P23" s="2434"/>
      <c r="Q23" s="2434"/>
      <c r="R23" s="2434"/>
      <c r="S23" s="2434"/>
      <c r="T23" s="2434"/>
      <c r="U23" s="2434"/>
      <c r="V23" s="2434"/>
      <c r="W23" s="2434"/>
      <c r="X23" s="2434"/>
      <c r="Y23" s="2434"/>
      <c r="Z23" s="2434"/>
      <c r="AA23" s="2434"/>
      <c r="AB23" s="2434"/>
      <c r="AC23" s="2434"/>
      <c r="AD23" s="2434"/>
      <c r="AE23" s="2434"/>
      <c r="AF23" s="2434"/>
      <c r="AG23" s="2434"/>
      <c r="AH23" s="2434"/>
      <c r="AI23" s="2434"/>
      <c r="AJ23" s="2435"/>
      <c r="AK23" s="540"/>
      <c r="AL23" s="540"/>
      <c r="AM23" s="540"/>
      <c r="AN23" s="535"/>
      <c r="AO23" s="536">
        <f>IF(SUM(AO20:AO21)&gt;14,14,SUM(AO20:AO21))</f>
        <v>0</v>
      </c>
      <c r="AP23" s="536" t="s">
        <v>1307</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394" t="s">
        <v>591</v>
      </c>
      <c r="C25" s="2394"/>
      <c r="D25" s="547"/>
      <c r="E25" s="2395" t="s">
        <v>2033</v>
      </c>
      <c r="F25" s="2396"/>
      <c r="G25" s="2396"/>
      <c r="H25" s="2396"/>
      <c r="I25" s="2396"/>
      <c r="J25" s="2396"/>
      <c r="K25" s="2396"/>
      <c r="L25" s="2396"/>
      <c r="M25" s="2396"/>
      <c r="N25" s="2396"/>
      <c r="O25" s="2396"/>
      <c r="P25" s="2396"/>
      <c r="Q25" s="2396"/>
      <c r="R25" s="2396"/>
      <c r="S25" s="2396"/>
      <c r="T25" s="2396"/>
      <c r="U25" s="2396"/>
      <c r="V25" s="2396"/>
      <c r="W25" s="2396"/>
      <c r="X25" s="2396"/>
      <c r="Y25" s="2396"/>
      <c r="Z25" s="2396"/>
      <c r="AA25" s="2396"/>
      <c r="AB25" s="2396"/>
      <c r="AC25" s="2396"/>
      <c r="AD25" s="2396"/>
      <c r="AE25" s="2396"/>
      <c r="AF25" s="2396"/>
      <c r="AG25" s="2396"/>
      <c r="AH25" s="2396"/>
      <c r="AI25" s="2396"/>
      <c r="AJ25" s="2397"/>
      <c r="AK25" s="540"/>
      <c r="AL25" s="540"/>
      <c r="AM25" s="540"/>
      <c r="AN25" s="535"/>
      <c r="AO25" s="550">
        <f>IF($B45="yes",6,0)</f>
        <v>0</v>
      </c>
    </row>
    <row r="26" spans="1:42" s="536" customFormat="1" ht="12.75" customHeight="1">
      <c r="A26" s="540"/>
      <c r="B26" s="540"/>
      <c r="C26" s="540"/>
      <c r="D26" s="550"/>
      <c r="E26" s="2398"/>
      <c r="F26" s="2399"/>
      <c r="G26" s="2399"/>
      <c r="H26" s="2399"/>
      <c r="I26" s="2399"/>
      <c r="J26" s="2399"/>
      <c r="K26" s="2399"/>
      <c r="L26" s="2399"/>
      <c r="M26" s="2399"/>
      <c r="N26" s="2399"/>
      <c r="O26" s="2399"/>
      <c r="P26" s="2399"/>
      <c r="Q26" s="2399"/>
      <c r="R26" s="2399"/>
      <c r="S26" s="2399"/>
      <c r="T26" s="2399"/>
      <c r="U26" s="2399"/>
      <c r="V26" s="2399"/>
      <c r="W26" s="2399"/>
      <c r="X26" s="2399"/>
      <c r="Y26" s="2399"/>
      <c r="Z26" s="2399"/>
      <c r="AA26" s="2399"/>
      <c r="AB26" s="2399"/>
      <c r="AC26" s="2399"/>
      <c r="AD26" s="2399"/>
      <c r="AE26" s="2399"/>
      <c r="AF26" s="2399"/>
      <c r="AG26" s="2399"/>
      <c r="AH26" s="2399"/>
      <c r="AI26" s="2399"/>
      <c r="AJ26" s="2400"/>
      <c r="AK26" s="540"/>
      <c r="AL26" s="540"/>
      <c r="AM26" s="540"/>
      <c r="AN26" s="535"/>
      <c r="AO26" s="536">
        <f>IF(AO25&gt;6,6,AO25)</f>
        <v>0</v>
      </c>
      <c r="AP26" s="536" t="s">
        <v>1307</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394" t="s">
        <v>591</v>
      </c>
      <c r="C28" s="2394"/>
      <c r="D28" s="547"/>
      <c r="E28" s="2418" t="s">
        <v>2248</v>
      </c>
      <c r="F28" s="2419"/>
      <c r="G28" s="2419"/>
      <c r="H28" s="2419"/>
      <c r="I28" s="2419"/>
      <c r="J28" s="2419"/>
      <c r="K28" s="2419"/>
      <c r="L28" s="2419"/>
      <c r="M28" s="2419"/>
      <c r="N28" s="2419"/>
      <c r="O28" s="2419"/>
      <c r="P28" s="2419"/>
      <c r="Q28" s="2419"/>
      <c r="R28" s="2419"/>
      <c r="S28" s="2419"/>
      <c r="T28" s="2419"/>
      <c r="U28" s="2419"/>
      <c r="V28" s="2419"/>
      <c r="W28" s="2419"/>
      <c r="X28" s="2419"/>
      <c r="Y28" s="2419"/>
      <c r="Z28" s="2419"/>
      <c r="AA28" s="2419"/>
      <c r="AB28" s="2419"/>
      <c r="AC28" s="2419"/>
      <c r="AD28" s="2419"/>
      <c r="AE28" s="2419"/>
      <c r="AF28" s="2419"/>
      <c r="AG28" s="2419"/>
      <c r="AH28" s="2419"/>
      <c r="AI28" s="2419"/>
      <c r="AJ28" s="2420"/>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2007</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1307</v>
      </c>
    </row>
    <row r="33" spans="1:41" s="536" customFormat="1" ht="12.75" customHeight="1">
      <c r="A33" s="540"/>
      <c r="B33" s="2394" t="s">
        <v>591</v>
      </c>
      <c r="C33" s="2394"/>
      <c r="D33" s="547"/>
      <c r="E33" s="2430" t="s">
        <v>2250</v>
      </c>
      <c r="F33" s="2431"/>
      <c r="G33" s="2431"/>
      <c r="H33" s="2431"/>
      <c r="I33" s="2431"/>
      <c r="J33" s="2431"/>
      <c r="K33" s="2431"/>
      <c r="L33" s="2431"/>
      <c r="M33" s="2431"/>
      <c r="N33" s="2431"/>
      <c r="O33" s="2431"/>
      <c r="P33" s="2431"/>
      <c r="Q33" s="2431"/>
      <c r="R33" s="2431"/>
      <c r="S33" s="2431"/>
      <c r="T33" s="2431"/>
      <c r="U33" s="2431"/>
      <c r="V33" s="2431"/>
      <c r="W33" s="2431"/>
      <c r="X33" s="2431"/>
      <c r="Y33" s="2431"/>
      <c r="Z33" s="2431"/>
      <c r="AA33" s="2431"/>
      <c r="AB33" s="2431"/>
      <c r="AC33" s="2431"/>
      <c r="AD33" s="2431"/>
      <c r="AE33" s="2431"/>
      <c r="AF33" s="2431"/>
      <c r="AG33" s="2431"/>
      <c r="AH33" s="2431"/>
      <c r="AI33" s="2431"/>
      <c r="AJ33" s="2432"/>
      <c r="AK33" s="540"/>
      <c r="AL33" s="540"/>
      <c r="AM33" s="540"/>
      <c r="AN33" s="535"/>
      <c r="AO33" s="550"/>
    </row>
    <row r="34" spans="1:41" s="536" customFormat="1" ht="12.75" customHeight="1">
      <c r="A34" s="540"/>
      <c r="B34" s="540"/>
      <c r="C34" s="540"/>
      <c r="E34" s="2433"/>
      <c r="F34" s="2434"/>
      <c r="G34" s="2434"/>
      <c r="H34" s="2434"/>
      <c r="I34" s="2434"/>
      <c r="J34" s="2434"/>
      <c r="K34" s="2434"/>
      <c r="L34" s="2434"/>
      <c r="M34" s="2434"/>
      <c r="N34" s="2434"/>
      <c r="O34" s="2434"/>
      <c r="P34" s="2434"/>
      <c r="Q34" s="2434"/>
      <c r="R34" s="2434"/>
      <c r="S34" s="2434"/>
      <c r="T34" s="2434"/>
      <c r="U34" s="2434"/>
      <c r="V34" s="2434"/>
      <c r="W34" s="2434"/>
      <c r="X34" s="2434"/>
      <c r="Y34" s="2434"/>
      <c r="Z34" s="2434"/>
      <c r="AA34" s="2434"/>
      <c r="AB34" s="2434"/>
      <c r="AC34" s="2434"/>
      <c r="AD34" s="2434"/>
      <c r="AE34" s="2434"/>
      <c r="AF34" s="2434"/>
      <c r="AG34" s="2434"/>
      <c r="AH34" s="2434"/>
      <c r="AI34" s="2434"/>
      <c r="AJ34" s="2435"/>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394" t="s">
        <v>591</v>
      </c>
      <c r="C36" s="2394"/>
      <c r="D36" s="547"/>
      <c r="E36" s="2395" t="s">
        <v>2251</v>
      </c>
      <c r="F36" s="2396"/>
      <c r="G36" s="2396"/>
      <c r="H36" s="2396"/>
      <c r="I36" s="2396"/>
      <c r="J36" s="2396"/>
      <c r="K36" s="2396"/>
      <c r="L36" s="2396"/>
      <c r="M36" s="2396"/>
      <c r="N36" s="2396"/>
      <c r="O36" s="2396"/>
      <c r="P36" s="2396"/>
      <c r="Q36" s="2396"/>
      <c r="R36" s="2396"/>
      <c r="S36" s="2396"/>
      <c r="T36" s="2396"/>
      <c r="U36" s="2396"/>
      <c r="V36" s="2396"/>
      <c r="W36" s="2396"/>
      <c r="X36" s="2396"/>
      <c r="Y36" s="2396"/>
      <c r="Z36" s="2396"/>
      <c r="AA36" s="2396"/>
      <c r="AB36" s="2396"/>
      <c r="AC36" s="2396"/>
      <c r="AD36" s="2396"/>
      <c r="AE36" s="2396"/>
      <c r="AF36" s="2396"/>
      <c r="AG36" s="2396"/>
      <c r="AH36" s="2396"/>
      <c r="AI36" s="2396"/>
      <c r="AJ36" s="2397"/>
      <c r="AK36" s="540"/>
      <c r="AL36" s="540"/>
      <c r="AM36" s="540"/>
      <c r="AN36" s="535"/>
    </row>
    <row r="37" spans="1:41" s="536" customFormat="1" ht="12.75" customHeight="1">
      <c r="A37" s="540"/>
      <c r="B37" s="540"/>
      <c r="C37" s="540"/>
      <c r="E37" s="2401"/>
      <c r="F37" s="2402"/>
      <c r="G37" s="2402"/>
      <c r="H37" s="2402"/>
      <c r="I37" s="2402"/>
      <c r="J37" s="2402"/>
      <c r="K37" s="2402"/>
      <c r="L37" s="2402"/>
      <c r="M37" s="2402"/>
      <c r="N37" s="2402"/>
      <c r="O37" s="2402"/>
      <c r="P37" s="2402"/>
      <c r="Q37" s="2402"/>
      <c r="R37" s="2402"/>
      <c r="S37" s="2402"/>
      <c r="T37" s="2402"/>
      <c r="U37" s="2402"/>
      <c r="V37" s="2402"/>
      <c r="W37" s="2402"/>
      <c r="X37" s="2402"/>
      <c r="Y37" s="2402"/>
      <c r="Z37" s="2402"/>
      <c r="AA37" s="2402"/>
      <c r="AB37" s="2402"/>
      <c r="AC37" s="2402"/>
      <c r="AD37" s="2402"/>
      <c r="AE37" s="2402"/>
      <c r="AF37" s="2402"/>
      <c r="AG37" s="2402"/>
      <c r="AH37" s="2402"/>
      <c r="AI37" s="2402"/>
      <c r="AJ37" s="2403"/>
      <c r="AK37" s="540"/>
      <c r="AL37" s="540"/>
      <c r="AM37" s="540"/>
      <c r="AN37" s="535"/>
    </row>
    <row r="38" spans="1:41" s="536" customFormat="1" ht="12.75" customHeight="1">
      <c r="A38" s="540"/>
      <c r="B38" s="540"/>
      <c r="C38" s="540"/>
      <c r="E38" s="2398"/>
      <c r="F38" s="2399"/>
      <c r="G38" s="2399"/>
      <c r="H38" s="2399"/>
      <c r="I38" s="2399"/>
      <c r="J38" s="2399"/>
      <c r="K38" s="2399"/>
      <c r="L38" s="2399"/>
      <c r="M38" s="2399"/>
      <c r="N38" s="2399"/>
      <c r="O38" s="2399"/>
      <c r="P38" s="2399"/>
      <c r="Q38" s="2399"/>
      <c r="R38" s="2399"/>
      <c r="S38" s="2399"/>
      <c r="T38" s="2399"/>
      <c r="U38" s="2399"/>
      <c r="V38" s="2399"/>
      <c r="W38" s="2399"/>
      <c r="X38" s="2399"/>
      <c r="Y38" s="2399"/>
      <c r="Z38" s="2399"/>
      <c r="AA38" s="2399"/>
      <c r="AB38" s="2399"/>
      <c r="AC38" s="2399"/>
      <c r="AD38" s="2399"/>
      <c r="AE38" s="2399"/>
      <c r="AF38" s="2399"/>
      <c r="AG38" s="2399"/>
      <c r="AH38" s="2399"/>
      <c r="AI38" s="2399"/>
      <c r="AJ38" s="2400"/>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394" t="s">
        <v>591</v>
      </c>
      <c r="C40" s="2394"/>
      <c r="D40" s="547"/>
      <c r="E40" s="2395" t="s">
        <v>2249</v>
      </c>
      <c r="F40" s="2396"/>
      <c r="G40" s="2396"/>
      <c r="H40" s="2396"/>
      <c r="I40" s="2396"/>
      <c r="J40" s="2396"/>
      <c r="K40" s="2396"/>
      <c r="L40" s="2396"/>
      <c r="M40" s="2396"/>
      <c r="N40" s="2396"/>
      <c r="O40" s="2396"/>
      <c r="P40" s="2396"/>
      <c r="Q40" s="2396"/>
      <c r="R40" s="2396"/>
      <c r="S40" s="2396"/>
      <c r="T40" s="2396"/>
      <c r="U40" s="2396"/>
      <c r="V40" s="2396"/>
      <c r="W40" s="2396"/>
      <c r="X40" s="2396"/>
      <c r="Y40" s="2396"/>
      <c r="Z40" s="2396"/>
      <c r="AA40" s="2396"/>
      <c r="AB40" s="2396"/>
      <c r="AC40" s="2396"/>
      <c r="AD40" s="2396"/>
      <c r="AE40" s="2396"/>
      <c r="AF40" s="2396"/>
      <c r="AG40" s="2396"/>
      <c r="AH40" s="2396"/>
      <c r="AI40" s="2396"/>
      <c r="AJ40" s="2397"/>
      <c r="AK40" s="540"/>
      <c r="AL40" s="540"/>
      <c r="AM40" s="540"/>
      <c r="AN40" s="535"/>
    </row>
    <row r="41" spans="1:41" s="536" customFormat="1" ht="12.75" customHeight="1">
      <c r="A41" s="540"/>
      <c r="B41" s="540"/>
      <c r="C41" s="540"/>
      <c r="E41" s="2398"/>
      <c r="F41" s="2399"/>
      <c r="G41" s="2399"/>
      <c r="H41" s="2399"/>
      <c r="I41" s="2399"/>
      <c r="J41" s="2399"/>
      <c r="K41" s="2399"/>
      <c r="L41" s="2399"/>
      <c r="M41" s="2399"/>
      <c r="N41" s="2399"/>
      <c r="O41" s="2399"/>
      <c r="P41" s="2399"/>
      <c r="Q41" s="2399"/>
      <c r="R41" s="2399"/>
      <c r="S41" s="2399"/>
      <c r="T41" s="2399"/>
      <c r="U41" s="2399"/>
      <c r="V41" s="2399"/>
      <c r="W41" s="2399"/>
      <c r="X41" s="2399"/>
      <c r="Y41" s="2399"/>
      <c r="Z41" s="2399"/>
      <c r="AA41" s="2399"/>
      <c r="AB41" s="2399"/>
      <c r="AC41" s="2399"/>
      <c r="AD41" s="2399"/>
      <c r="AE41" s="2399"/>
      <c r="AF41" s="2399"/>
      <c r="AG41" s="2399"/>
      <c r="AH41" s="2399"/>
      <c r="AI41" s="2399"/>
      <c r="AJ41" s="2400"/>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2009</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394" t="s">
        <v>591</v>
      </c>
      <c r="C45" s="2394"/>
      <c r="D45" s="1142"/>
      <c r="E45" s="2395" t="s">
        <v>2008</v>
      </c>
      <c r="F45" s="2396"/>
      <c r="G45" s="2396"/>
      <c r="H45" s="2396"/>
      <c r="I45" s="2396"/>
      <c r="J45" s="2396"/>
      <c r="K45" s="2396"/>
      <c r="L45" s="2396"/>
      <c r="M45" s="2396"/>
      <c r="N45" s="2396"/>
      <c r="O45" s="2396"/>
      <c r="P45" s="2396"/>
      <c r="Q45" s="2396"/>
      <c r="R45" s="2396"/>
      <c r="S45" s="2396"/>
      <c r="T45" s="2396"/>
      <c r="U45" s="2396"/>
      <c r="V45" s="2396"/>
      <c r="W45" s="2396"/>
      <c r="X45" s="2396"/>
      <c r="Y45" s="2396"/>
      <c r="Z45" s="2396"/>
      <c r="AA45" s="2396"/>
      <c r="AB45" s="2396"/>
      <c r="AC45" s="2396"/>
      <c r="AD45" s="2396"/>
      <c r="AE45" s="2396"/>
      <c r="AF45" s="2396"/>
      <c r="AG45" s="2396"/>
      <c r="AH45" s="2396"/>
      <c r="AI45" s="2396"/>
      <c r="AJ45" s="2397"/>
      <c r="AK45" s="1142"/>
      <c r="AL45" s="540"/>
      <c r="AM45" s="540"/>
      <c r="AN45" s="535"/>
    </row>
    <row r="46" spans="1:41" s="536" customFormat="1" ht="12.75" customHeight="1">
      <c r="A46" s="540"/>
      <c r="B46" s="540"/>
      <c r="C46" s="540"/>
      <c r="E46" s="2401"/>
      <c r="F46" s="2402"/>
      <c r="G46" s="2402"/>
      <c r="H46" s="2402"/>
      <c r="I46" s="2402"/>
      <c r="J46" s="2402"/>
      <c r="K46" s="2402"/>
      <c r="L46" s="2402"/>
      <c r="M46" s="2402"/>
      <c r="N46" s="2402"/>
      <c r="O46" s="2402"/>
      <c r="P46" s="2402"/>
      <c r="Q46" s="2402"/>
      <c r="R46" s="2402"/>
      <c r="S46" s="2402"/>
      <c r="T46" s="2402"/>
      <c r="U46" s="2402"/>
      <c r="V46" s="2402"/>
      <c r="W46" s="2402"/>
      <c r="X46" s="2402"/>
      <c r="Y46" s="2402"/>
      <c r="Z46" s="2402"/>
      <c r="AA46" s="2402"/>
      <c r="AB46" s="2402"/>
      <c r="AC46" s="2402"/>
      <c r="AD46" s="2402"/>
      <c r="AE46" s="2402"/>
      <c r="AF46" s="2402"/>
      <c r="AG46" s="2402"/>
      <c r="AH46" s="2402"/>
      <c r="AI46" s="2402"/>
      <c r="AJ46" s="2403"/>
      <c r="AK46" s="540"/>
      <c r="AL46" s="540"/>
      <c r="AM46" s="540"/>
      <c r="AN46" s="535"/>
    </row>
    <row r="47" spans="1:41" s="536" customFormat="1" ht="12.75" customHeight="1">
      <c r="A47" s="540"/>
      <c r="D47" s="547"/>
      <c r="E47" s="2398"/>
      <c r="F47" s="2399"/>
      <c r="G47" s="2399"/>
      <c r="H47" s="2399"/>
      <c r="I47" s="2399"/>
      <c r="J47" s="2399"/>
      <c r="K47" s="2399"/>
      <c r="L47" s="2399"/>
      <c r="M47" s="2399"/>
      <c r="N47" s="2399"/>
      <c r="O47" s="2399"/>
      <c r="P47" s="2399"/>
      <c r="Q47" s="2399"/>
      <c r="R47" s="2399"/>
      <c r="S47" s="2399"/>
      <c r="T47" s="2399"/>
      <c r="U47" s="2399"/>
      <c r="V47" s="2399"/>
      <c r="W47" s="2399"/>
      <c r="X47" s="2399"/>
      <c r="Y47" s="2399"/>
      <c r="Z47" s="2399"/>
      <c r="AA47" s="2399"/>
      <c r="AB47" s="2399"/>
      <c r="AC47" s="2399"/>
      <c r="AD47" s="2399"/>
      <c r="AE47" s="2399"/>
      <c r="AF47" s="2399"/>
      <c r="AG47" s="2399"/>
      <c r="AH47" s="2399"/>
      <c r="AI47" s="2399"/>
      <c r="AJ47" s="2400"/>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2011</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2012</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394" t="s">
        <v>591</v>
      </c>
      <c r="C52" s="2394"/>
      <c r="D52" s="540"/>
      <c r="E52" s="2395" t="s">
        <v>2013</v>
      </c>
      <c r="F52" s="2396"/>
      <c r="G52" s="2396"/>
      <c r="H52" s="2396"/>
      <c r="I52" s="2396"/>
      <c r="J52" s="2396"/>
      <c r="K52" s="2396"/>
      <c r="L52" s="2396"/>
      <c r="M52" s="2396"/>
      <c r="N52" s="2396"/>
      <c r="O52" s="2396"/>
      <c r="P52" s="2396"/>
      <c r="Q52" s="2396"/>
      <c r="R52" s="2396"/>
      <c r="S52" s="2396"/>
      <c r="T52" s="2396"/>
      <c r="U52" s="2396"/>
      <c r="V52" s="2396"/>
      <c r="W52" s="2396"/>
      <c r="X52" s="2396"/>
      <c r="Y52" s="2396"/>
      <c r="Z52" s="2396"/>
      <c r="AA52" s="2396"/>
      <c r="AB52" s="2396"/>
      <c r="AC52" s="2396"/>
      <c r="AD52" s="2396"/>
      <c r="AE52" s="2396"/>
      <c r="AF52" s="2396"/>
      <c r="AG52" s="2396"/>
      <c r="AH52" s="2396"/>
      <c r="AI52" s="2396"/>
      <c r="AJ52" s="2397"/>
      <c r="AK52" s="540"/>
      <c r="AL52" s="540"/>
      <c r="AM52" s="540"/>
      <c r="AN52" s="535"/>
      <c r="AO52" s="559"/>
    </row>
    <row r="53" spans="1:50" s="536" customFormat="1" ht="12.75" customHeight="1">
      <c r="A53" s="540"/>
      <c r="D53" s="547"/>
      <c r="E53" s="2401"/>
      <c r="F53" s="2402"/>
      <c r="G53" s="2402"/>
      <c r="H53" s="2402"/>
      <c r="I53" s="2402"/>
      <c r="J53" s="2402"/>
      <c r="K53" s="2402"/>
      <c r="L53" s="2402"/>
      <c r="M53" s="2402"/>
      <c r="N53" s="2402"/>
      <c r="O53" s="2402"/>
      <c r="P53" s="2402"/>
      <c r="Q53" s="2402"/>
      <c r="R53" s="2402"/>
      <c r="S53" s="2402"/>
      <c r="T53" s="2402"/>
      <c r="U53" s="2402"/>
      <c r="V53" s="2402"/>
      <c r="W53" s="2402"/>
      <c r="X53" s="2402"/>
      <c r="Y53" s="2402"/>
      <c r="Z53" s="2402"/>
      <c r="AA53" s="2402"/>
      <c r="AB53" s="2402"/>
      <c r="AC53" s="2402"/>
      <c r="AD53" s="2402"/>
      <c r="AE53" s="2402"/>
      <c r="AF53" s="2402"/>
      <c r="AG53" s="2402"/>
      <c r="AH53" s="2402"/>
      <c r="AI53" s="2402"/>
      <c r="AJ53" s="2403"/>
      <c r="AK53" s="540"/>
      <c r="AL53" s="540"/>
      <c r="AM53" s="540"/>
      <c r="AN53" s="535"/>
      <c r="AO53" s="559"/>
    </row>
    <row r="54" spans="1:50" s="536" customFormat="1" ht="12.75" customHeight="1">
      <c r="A54" s="540"/>
      <c r="D54" s="540"/>
      <c r="E54" s="2398"/>
      <c r="F54" s="2399"/>
      <c r="G54" s="2399"/>
      <c r="H54" s="2399"/>
      <c r="I54" s="2399"/>
      <c r="J54" s="2399"/>
      <c r="K54" s="2399"/>
      <c r="L54" s="2399"/>
      <c r="M54" s="2399"/>
      <c r="N54" s="2399"/>
      <c r="O54" s="2399"/>
      <c r="P54" s="2399"/>
      <c r="Q54" s="2399"/>
      <c r="R54" s="2399"/>
      <c r="S54" s="2399"/>
      <c r="T54" s="2399"/>
      <c r="U54" s="2399"/>
      <c r="V54" s="2399"/>
      <c r="W54" s="2399"/>
      <c r="X54" s="2399"/>
      <c r="Y54" s="2399"/>
      <c r="Z54" s="2399"/>
      <c r="AA54" s="2399"/>
      <c r="AB54" s="2399"/>
      <c r="AC54" s="2399"/>
      <c r="AD54" s="2399"/>
      <c r="AE54" s="2399"/>
      <c r="AF54" s="2399"/>
      <c r="AG54" s="2399"/>
      <c r="AH54" s="2399"/>
      <c r="AI54" s="2399"/>
      <c r="AJ54" s="2400"/>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394" t="s">
        <v>591</v>
      </c>
      <c r="C56" s="2394"/>
      <c r="D56" s="540"/>
      <c r="E56" s="2415" t="s">
        <v>2014</v>
      </c>
      <c r="F56" s="2416"/>
      <c r="G56" s="2416"/>
      <c r="H56" s="2416"/>
      <c r="I56" s="2416"/>
      <c r="J56" s="2416"/>
      <c r="K56" s="2416"/>
      <c r="L56" s="2416"/>
      <c r="M56" s="2416"/>
      <c r="N56" s="2416"/>
      <c r="O56" s="2416"/>
      <c r="P56" s="2416"/>
      <c r="Q56" s="2416"/>
      <c r="R56" s="2416"/>
      <c r="S56" s="2416"/>
      <c r="T56" s="2416"/>
      <c r="U56" s="2416"/>
      <c r="V56" s="2416"/>
      <c r="W56" s="2416"/>
      <c r="X56" s="2416"/>
      <c r="Y56" s="2416"/>
      <c r="Z56" s="2416"/>
      <c r="AA56" s="2416"/>
      <c r="AB56" s="2416"/>
      <c r="AC56" s="2416"/>
      <c r="AD56" s="2416"/>
      <c r="AE56" s="2416"/>
      <c r="AF56" s="2416"/>
      <c r="AG56" s="2416"/>
      <c r="AH56" s="2416"/>
      <c r="AI56" s="2416"/>
      <c r="AJ56" s="2417"/>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394" t="s">
        <v>591</v>
      </c>
      <c r="C58" s="2394"/>
      <c r="D58" s="540"/>
      <c r="E58" s="2395" t="s">
        <v>2015</v>
      </c>
      <c r="F58" s="2396"/>
      <c r="G58" s="2396"/>
      <c r="H58" s="2396"/>
      <c r="I58" s="2396"/>
      <c r="J58" s="2396"/>
      <c r="K58" s="2396"/>
      <c r="L58" s="2396"/>
      <c r="M58" s="2396"/>
      <c r="N58" s="2396"/>
      <c r="O58" s="2396"/>
      <c r="P58" s="2396"/>
      <c r="Q58" s="2396"/>
      <c r="R58" s="2396"/>
      <c r="S58" s="2396"/>
      <c r="T58" s="2396"/>
      <c r="U58" s="2396"/>
      <c r="V58" s="2396"/>
      <c r="W58" s="2396"/>
      <c r="X58" s="2396"/>
      <c r="Y58" s="2396"/>
      <c r="Z58" s="2396"/>
      <c r="AA58" s="2396"/>
      <c r="AB58" s="2396"/>
      <c r="AC58" s="2396"/>
      <c r="AD58" s="2396"/>
      <c r="AE58" s="2396"/>
      <c r="AF58" s="2396"/>
      <c r="AG58" s="2396"/>
      <c r="AH58" s="2396"/>
      <c r="AI58" s="2396"/>
      <c r="AJ58" s="2397"/>
      <c r="AK58" s="540"/>
      <c r="AL58" s="540"/>
      <c r="AM58" s="540"/>
      <c r="AN58" s="535"/>
    </row>
    <row r="59" spans="1:50" s="536" customFormat="1" ht="12.75" customHeight="1">
      <c r="A59" s="540"/>
      <c r="B59" s="547"/>
      <c r="C59" s="547"/>
      <c r="D59" s="547"/>
      <c r="E59" s="2398"/>
      <c r="F59" s="2399"/>
      <c r="G59" s="2399"/>
      <c r="H59" s="2399"/>
      <c r="I59" s="2399"/>
      <c r="J59" s="2399"/>
      <c r="K59" s="2399"/>
      <c r="L59" s="2399"/>
      <c r="M59" s="2399"/>
      <c r="N59" s="2399"/>
      <c r="O59" s="2399"/>
      <c r="P59" s="2399"/>
      <c r="Q59" s="2399"/>
      <c r="R59" s="2399"/>
      <c r="S59" s="2399"/>
      <c r="T59" s="2399"/>
      <c r="U59" s="2399"/>
      <c r="V59" s="2399"/>
      <c r="W59" s="2399"/>
      <c r="X59" s="2399"/>
      <c r="Y59" s="2399"/>
      <c r="Z59" s="2399"/>
      <c r="AA59" s="2399"/>
      <c r="AB59" s="2399"/>
      <c r="AC59" s="2399"/>
      <c r="AD59" s="2399"/>
      <c r="AE59" s="2399"/>
      <c r="AF59" s="2399"/>
      <c r="AG59" s="2399"/>
      <c r="AH59" s="2399"/>
      <c r="AI59" s="2399"/>
      <c r="AJ59" s="2400"/>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1310</v>
      </c>
      <c r="AK62" s="2427">
        <f>AO39</f>
        <v>0</v>
      </c>
      <c r="AL62" s="2428"/>
      <c r="AM62" s="2429"/>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1311</v>
      </c>
      <c r="B65" s="539" t="s">
        <v>1312</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04" t="s">
        <v>1313</v>
      </c>
      <c r="AF65" s="2404"/>
      <c r="AG65" s="2404"/>
      <c r="AH65" s="2404"/>
      <c r="AI65" s="2404"/>
      <c r="AJ65" s="2404"/>
      <c r="AK65" s="2404"/>
      <c r="AL65" s="540"/>
      <c r="AM65" s="540"/>
      <c r="AN65" s="535"/>
    </row>
    <row r="66" spans="1:42" s="536" customFormat="1" ht="12.75" customHeight="1">
      <c r="A66" s="538"/>
      <c r="B66" s="539" t="s">
        <v>1727</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394" t="s">
        <v>591</v>
      </c>
      <c r="C68" s="2394"/>
      <c r="D68" s="547" t="s">
        <v>1314</v>
      </c>
      <c r="E68" s="2405" t="s">
        <v>2016</v>
      </c>
      <c r="F68" s="2406"/>
      <c r="G68" s="2406"/>
      <c r="H68" s="2406"/>
      <c r="I68" s="2406"/>
      <c r="J68" s="2406"/>
      <c r="K68" s="2406"/>
      <c r="L68" s="2406"/>
      <c r="M68" s="2406"/>
      <c r="N68" s="2406"/>
      <c r="O68" s="2406"/>
      <c r="P68" s="2406"/>
      <c r="Q68" s="2406"/>
      <c r="R68" s="2406"/>
      <c r="S68" s="2406"/>
      <c r="T68" s="2406"/>
      <c r="U68" s="2406"/>
      <c r="V68" s="2406"/>
      <c r="W68" s="2406"/>
      <c r="X68" s="2406"/>
      <c r="Y68" s="2406"/>
      <c r="Z68" s="2406"/>
      <c r="AA68" s="2406"/>
      <c r="AB68" s="2406"/>
      <c r="AC68" s="2406"/>
      <c r="AD68" s="2406"/>
      <c r="AE68" s="2406"/>
      <c r="AF68" s="2406"/>
      <c r="AG68" s="2406"/>
      <c r="AH68" s="2406"/>
      <c r="AI68" s="2406"/>
      <c r="AJ68" s="2407"/>
      <c r="AK68" s="543"/>
      <c r="AL68" s="540"/>
      <c r="AM68" s="540"/>
      <c r="AN68" s="535"/>
      <c r="AO68" s="550">
        <f>IF($B68="yes",10,0)</f>
        <v>0</v>
      </c>
    </row>
    <row r="69" spans="1:42" s="536" customFormat="1" ht="12.75" customHeight="1">
      <c r="A69" s="538"/>
      <c r="B69" s="540"/>
      <c r="C69" s="540"/>
      <c r="D69" s="551"/>
      <c r="E69" s="2408"/>
      <c r="F69" s="2409"/>
      <c r="G69" s="2409"/>
      <c r="H69" s="2409"/>
      <c r="I69" s="2409"/>
      <c r="J69" s="2409"/>
      <c r="K69" s="2409"/>
      <c r="L69" s="2409"/>
      <c r="M69" s="2409"/>
      <c r="N69" s="2409"/>
      <c r="O69" s="2409"/>
      <c r="P69" s="2409"/>
      <c r="Q69" s="2409"/>
      <c r="R69" s="2409"/>
      <c r="S69" s="2409"/>
      <c r="T69" s="2409"/>
      <c r="U69" s="2409"/>
      <c r="V69" s="2409"/>
      <c r="W69" s="2409"/>
      <c r="X69" s="2409"/>
      <c r="Y69" s="2409"/>
      <c r="Z69" s="2409"/>
      <c r="AA69" s="2409"/>
      <c r="AB69" s="2409"/>
      <c r="AC69" s="2409"/>
      <c r="AD69" s="2409"/>
      <c r="AE69" s="2409"/>
      <c r="AF69" s="2409"/>
      <c r="AG69" s="2409"/>
      <c r="AH69" s="2409"/>
      <c r="AI69" s="2409"/>
      <c r="AJ69" s="2410"/>
      <c r="AK69" s="543"/>
      <c r="AL69" s="540"/>
      <c r="AM69" s="540"/>
      <c r="AN69" s="535"/>
      <c r="AO69" s="550">
        <f>IF($B74="yes",10,0)</f>
        <v>10</v>
      </c>
    </row>
    <row r="70" spans="1:42" s="536" customFormat="1" ht="12.75" customHeight="1">
      <c r="A70" s="538"/>
      <c r="B70" s="540"/>
      <c r="C70" s="540"/>
      <c r="D70" s="551"/>
      <c r="E70" s="2408"/>
      <c r="F70" s="2409"/>
      <c r="G70" s="2409"/>
      <c r="H70" s="2409"/>
      <c r="I70" s="2409"/>
      <c r="J70" s="2409"/>
      <c r="K70" s="2409"/>
      <c r="L70" s="2409"/>
      <c r="M70" s="2409"/>
      <c r="N70" s="2409"/>
      <c r="O70" s="2409"/>
      <c r="P70" s="2409"/>
      <c r="Q70" s="2409"/>
      <c r="R70" s="2409"/>
      <c r="S70" s="2409"/>
      <c r="T70" s="2409"/>
      <c r="U70" s="2409"/>
      <c r="V70" s="2409"/>
      <c r="W70" s="2409"/>
      <c r="X70" s="2409"/>
      <c r="Y70" s="2409"/>
      <c r="Z70" s="2409"/>
      <c r="AA70" s="2409"/>
      <c r="AB70" s="2409"/>
      <c r="AC70" s="2409"/>
      <c r="AD70" s="2409"/>
      <c r="AE70" s="2409"/>
      <c r="AF70" s="2409"/>
      <c r="AG70" s="2409"/>
      <c r="AH70" s="2409"/>
      <c r="AI70" s="2409"/>
      <c r="AJ70" s="2410"/>
      <c r="AK70" s="543"/>
      <c r="AL70" s="540"/>
      <c r="AM70" s="540"/>
      <c r="AN70" s="535"/>
      <c r="AO70" s="550">
        <f>IF($B81="yes",10,0)</f>
        <v>10</v>
      </c>
    </row>
    <row r="71" spans="1:42" s="536" customFormat="1" ht="12.75" customHeight="1">
      <c r="A71" s="538"/>
      <c r="B71" s="540"/>
      <c r="C71" s="540"/>
      <c r="D71" s="551"/>
      <c r="E71" s="2408"/>
      <c r="F71" s="2409"/>
      <c r="G71" s="2409"/>
      <c r="H71" s="2409"/>
      <c r="I71" s="2409"/>
      <c r="J71" s="2409"/>
      <c r="K71" s="2409"/>
      <c r="L71" s="2409"/>
      <c r="M71" s="2409"/>
      <c r="N71" s="2409"/>
      <c r="O71" s="2409"/>
      <c r="P71" s="2409"/>
      <c r="Q71" s="2409"/>
      <c r="R71" s="2409"/>
      <c r="S71" s="2409"/>
      <c r="T71" s="2409"/>
      <c r="U71" s="2409"/>
      <c r="V71" s="2409"/>
      <c r="W71" s="2409"/>
      <c r="X71" s="2409"/>
      <c r="Y71" s="2409"/>
      <c r="Z71" s="2409"/>
      <c r="AA71" s="2409"/>
      <c r="AB71" s="2409"/>
      <c r="AC71" s="2409"/>
      <c r="AD71" s="2409"/>
      <c r="AE71" s="2409"/>
      <c r="AF71" s="2409"/>
      <c r="AG71" s="2409"/>
      <c r="AH71" s="2409"/>
      <c r="AI71" s="2409"/>
      <c r="AJ71" s="2410"/>
      <c r="AK71" s="543"/>
      <c r="AL71" s="540"/>
      <c r="AM71" s="540"/>
      <c r="AN71" s="535"/>
      <c r="AO71" s="536">
        <f>IF(SUM(AO68:AO70)&gt;10,10,(SUM(AO68:AO70)))</f>
        <v>10</v>
      </c>
      <c r="AP71" s="574" t="s">
        <v>1315</v>
      </c>
    </row>
    <row r="72" spans="1:42" s="536" customFormat="1" ht="12.75" customHeight="1">
      <c r="A72" s="538"/>
      <c r="B72" s="540"/>
      <c r="C72" s="540"/>
      <c r="D72" s="551"/>
      <c r="E72" s="2411"/>
      <c r="F72" s="2412"/>
      <c r="G72" s="2412"/>
      <c r="H72" s="2412"/>
      <c r="I72" s="2412"/>
      <c r="J72" s="2412"/>
      <c r="K72" s="2412"/>
      <c r="L72" s="2412"/>
      <c r="M72" s="2412"/>
      <c r="N72" s="2412"/>
      <c r="O72" s="2412"/>
      <c r="P72" s="2412"/>
      <c r="Q72" s="2412"/>
      <c r="R72" s="2412"/>
      <c r="S72" s="2412"/>
      <c r="T72" s="2412"/>
      <c r="U72" s="2412"/>
      <c r="V72" s="2412"/>
      <c r="W72" s="2412"/>
      <c r="X72" s="2412"/>
      <c r="Y72" s="2412"/>
      <c r="Z72" s="2412"/>
      <c r="AA72" s="2412"/>
      <c r="AB72" s="2412"/>
      <c r="AC72" s="2412"/>
      <c r="AD72" s="2412"/>
      <c r="AE72" s="2412"/>
      <c r="AF72" s="2412"/>
      <c r="AG72" s="2412"/>
      <c r="AH72" s="2412"/>
      <c r="AI72" s="2412"/>
      <c r="AJ72" s="2413"/>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394" t="s">
        <v>545</v>
      </c>
      <c r="C74" s="2394"/>
      <c r="D74" s="547" t="s">
        <v>1316</v>
      </c>
      <c r="E74" s="971" t="s">
        <v>1723</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414" t="s">
        <v>545</v>
      </c>
      <c r="F75" s="2394"/>
      <c r="G75" s="575"/>
      <c r="H75" s="558" t="s">
        <v>1317</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392" t="s">
        <v>591</v>
      </c>
      <c r="F76" s="2393"/>
      <c r="G76" s="575"/>
      <c r="H76" s="558" t="s">
        <v>1318</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392" t="s">
        <v>591</v>
      </c>
      <c r="F77" s="2393"/>
      <c r="G77" s="575"/>
      <c r="H77" s="558" t="s">
        <v>1738</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414" t="s">
        <v>591</v>
      </c>
      <c r="F79" s="2394"/>
      <c r="G79" s="906"/>
      <c r="H79" s="976" t="s">
        <v>1737</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394" t="s">
        <v>545</v>
      </c>
      <c r="C81" s="2394"/>
      <c r="D81" s="547" t="s">
        <v>1319</v>
      </c>
      <c r="E81" s="2395" t="s">
        <v>1739</v>
      </c>
      <c r="F81" s="2396"/>
      <c r="G81" s="2396"/>
      <c r="H81" s="2396"/>
      <c r="I81" s="2396"/>
      <c r="J81" s="2396"/>
      <c r="K81" s="2396"/>
      <c r="L81" s="2396"/>
      <c r="M81" s="2396"/>
      <c r="N81" s="2396"/>
      <c r="O81" s="2396"/>
      <c r="P81" s="2396"/>
      <c r="Q81" s="2396"/>
      <c r="R81" s="2396"/>
      <c r="S81" s="2396"/>
      <c r="T81" s="2396"/>
      <c r="U81" s="2396"/>
      <c r="V81" s="2396"/>
      <c r="W81" s="2396"/>
      <c r="X81" s="2396"/>
      <c r="Y81" s="2396"/>
      <c r="Z81" s="2396"/>
      <c r="AA81" s="2396"/>
      <c r="AB81" s="2396"/>
      <c r="AC81" s="2396"/>
      <c r="AD81" s="2396"/>
      <c r="AE81" s="2396"/>
      <c r="AF81" s="2396"/>
      <c r="AG81" s="2396"/>
      <c r="AH81" s="2396"/>
      <c r="AI81" s="2396"/>
      <c r="AJ81" s="2397"/>
      <c r="AK81" s="543"/>
      <c r="AL81" s="540"/>
      <c r="AM81" s="540"/>
      <c r="AN81" s="535"/>
    </row>
    <row r="82" spans="1:43" s="536" customFormat="1" ht="12.75" customHeight="1">
      <c r="A82" s="538"/>
      <c r="B82" s="540"/>
      <c r="C82" s="540"/>
      <c r="D82" s="550"/>
      <c r="E82" s="2398"/>
      <c r="F82" s="2399"/>
      <c r="G82" s="2399"/>
      <c r="H82" s="2399"/>
      <c r="I82" s="2399"/>
      <c r="J82" s="2399"/>
      <c r="K82" s="2399"/>
      <c r="L82" s="2399"/>
      <c r="M82" s="2399"/>
      <c r="N82" s="2399"/>
      <c r="O82" s="2399"/>
      <c r="P82" s="2399"/>
      <c r="Q82" s="2399"/>
      <c r="R82" s="2399"/>
      <c r="S82" s="2399"/>
      <c r="T82" s="2399"/>
      <c r="U82" s="2399"/>
      <c r="V82" s="2399"/>
      <c r="W82" s="2399"/>
      <c r="X82" s="2399"/>
      <c r="Y82" s="2399"/>
      <c r="Z82" s="2399"/>
      <c r="AA82" s="2399"/>
      <c r="AB82" s="2399"/>
      <c r="AC82" s="2399"/>
      <c r="AD82" s="2399"/>
      <c r="AE82" s="2399"/>
      <c r="AF82" s="2399"/>
      <c r="AG82" s="2399"/>
      <c r="AH82" s="2399"/>
      <c r="AI82" s="2399"/>
      <c r="AJ82" s="2400"/>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1320</v>
      </c>
      <c r="AK84" s="2427">
        <f>IF(AK62&gt;0,0,AO71)</f>
        <v>10</v>
      </c>
      <c r="AL84" s="2428"/>
      <c r="AM84" s="2429"/>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1321</v>
      </c>
      <c r="B87" s="539" t="s">
        <v>1322</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04" t="s">
        <v>1304</v>
      </c>
      <c r="AF87" s="2404"/>
      <c r="AG87" s="2404"/>
      <c r="AH87" s="2404"/>
      <c r="AI87" s="2404"/>
      <c r="AJ87" s="2404"/>
      <c r="AK87" s="2404"/>
      <c r="AL87" s="540"/>
      <c r="AM87" s="540"/>
      <c r="AN87" s="535"/>
    </row>
    <row r="88" spans="1:43" s="536" customFormat="1" ht="12.75" customHeight="1">
      <c r="A88" s="538"/>
      <c r="B88" s="539" t="s">
        <v>1323</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394" t="s">
        <v>591</v>
      </c>
      <c r="C90" s="2394"/>
      <c r="D90" s="547" t="s">
        <v>1314</v>
      </c>
      <c r="E90" s="2405" t="s">
        <v>1324</v>
      </c>
      <c r="F90" s="2406"/>
      <c r="G90" s="2406"/>
      <c r="H90" s="2406"/>
      <c r="I90" s="2406"/>
      <c r="J90" s="2406"/>
      <c r="K90" s="2406"/>
      <c r="L90" s="2406"/>
      <c r="M90" s="2406"/>
      <c r="N90" s="2406"/>
      <c r="O90" s="2406"/>
      <c r="P90" s="2406"/>
      <c r="Q90" s="2406"/>
      <c r="R90" s="2406"/>
      <c r="S90" s="2406"/>
      <c r="T90" s="2406"/>
      <c r="U90" s="2406"/>
      <c r="V90" s="2406"/>
      <c r="W90" s="2406"/>
      <c r="X90" s="2406"/>
      <c r="Y90" s="2406"/>
      <c r="Z90" s="2406"/>
      <c r="AA90" s="2406"/>
      <c r="AB90" s="2406"/>
      <c r="AC90" s="2406"/>
      <c r="AD90" s="2406"/>
      <c r="AE90" s="2406"/>
      <c r="AF90" s="2406"/>
      <c r="AG90" s="2406"/>
      <c r="AH90" s="2406"/>
      <c r="AI90" s="2406"/>
      <c r="AJ90" s="2407"/>
      <c r="AK90" s="543"/>
      <c r="AL90" s="540"/>
      <c r="AM90" s="540"/>
      <c r="AN90" s="535"/>
    </row>
    <row r="91" spans="1:43" s="536" customFormat="1" ht="12.75" customHeight="1">
      <c r="A91" s="538"/>
      <c r="B91" s="539"/>
      <c r="C91" s="539"/>
      <c r="D91" s="539"/>
      <c r="E91" s="2408"/>
      <c r="F91" s="2409"/>
      <c r="G91" s="2409"/>
      <c r="H91" s="2409"/>
      <c r="I91" s="2409"/>
      <c r="J91" s="2409"/>
      <c r="K91" s="2409"/>
      <c r="L91" s="2409"/>
      <c r="M91" s="2409"/>
      <c r="N91" s="2409"/>
      <c r="O91" s="2409"/>
      <c r="P91" s="2409"/>
      <c r="Q91" s="2409"/>
      <c r="R91" s="2409"/>
      <c r="S91" s="2409"/>
      <c r="T91" s="2409"/>
      <c r="U91" s="2409"/>
      <c r="V91" s="2409"/>
      <c r="W91" s="2409"/>
      <c r="X91" s="2409"/>
      <c r="Y91" s="2409"/>
      <c r="Z91" s="2409"/>
      <c r="AA91" s="2409"/>
      <c r="AB91" s="2409"/>
      <c r="AC91" s="2409"/>
      <c r="AD91" s="2409"/>
      <c r="AE91" s="2409"/>
      <c r="AF91" s="2409"/>
      <c r="AG91" s="2409"/>
      <c r="AH91" s="2409"/>
      <c r="AI91" s="2409"/>
      <c r="AJ91" s="2410"/>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388">
        <f>Application!AC753</f>
        <v>0.58141263940520438</v>
      </c>
      <c r="F93" s="2389"/>
      <c r="G93" s="2389"/>
      <c r="H93" s="2389"/>
      <c r="I93" s="577"/>
      <c r="J93" s="580" t="s">
        <v>1325</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390">
        <f>0.6-ROUNDUP(E93,2)</f>
        <v>1.0000000000000009E-2</v>
      </c>
      <c r="F94" s="2391"/>
      <c r="G94" s="2391"/>
      <c r="H94" s="2391"/>
      <c r="I94" s="577"/>
      <c r="J94" s="580" t="s">
        <v>1326</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421">
        <f>IF(E94*200&gt;20,20,E94*200)</f>
        <v>2.0000000000000018</v>
      </c>
      <c r="F95" s="2422"/>
      <c r="G95" s="2422"/>
      <c r="H95" s="2422"/>
      <c r="I95" s="577"/>
      <c r="J95" s="580" t="s">
        <v>1327</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0</v>
      </c>
      <c r="AQ95" s="536" t="s">
        <v>1307</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394" t="s">
        <v>545</v>
      </c>
      <c r="C98" s="2394"/>
      <c r="D98" s="547" t="s">
        <v>1316</v>
      </c>
      <c r="E98" s="2405" t="s">
        <v>1724</v>
      </c>
      <c r="F98" s="2406"/>
      <c r="G98" s="2406"/>
      <c r="H98" s="2406"/>
      <c r="I98" s="2406"/>
      <c r="J98" s="2406"/>
      <c r="K98" s="2406"/>
      <c r="L98" s="2406"/>
      <c r="M98" s="2406"/>
      <c r="N98" s="2406"/>
      <c r="O98" s="2406"/>
      <c r="P98" s="2406"/>
      <c r="Q98" s="2406"/>
      <c r="R98" s="2406"/>
      <c r="S98" s="2406"/>
      <c r="T98" s="2406"/>
      <c r="U98" s="2406"/>
      <c r="V98" s="2406"/>
      <c r="W98" s="2406"/>
      <c r="X98" s="2406"/>
      <c r="Y98" s="2406"/>
      <c r="Z98" s="2406"/>
      <c r="AA98" s="2406"/>
      <c r="AB98" s="2406"/>
      <c r="AC98" s="2406"/>
      <c r="AD98" s="2406"/>
      <c r="AE98" s="2406"/>
      <c r="AF98" s="2406"/>
      <c r="AG98" s="2406"/>
      <c r="AH98" s="2406"/>
      <c r="AI98" s="2406"/>
      <c r="AJ98" s="2407"/>
      <c r="AK98" s="543"/>
      <c r="AL98" s="540"/>
      <c r="AM98" s="540"/>
      <c r="AN98" s="535"/>
    </row>
    <row r="99" spans="1:47" s="536" customFormat="1" ht="12.75" customHeight="1">
      <c r="A99" s="538"/>
      <c r="B99" s="539"/>
      <c r="C99" s="539"/>
      <c r="D99" s="539"/>
      <c r="E99" s="2408"/>
      <c r="F99" s="2409"/>
      <c r="G99" s="2409"/>
      <c r="H99" s="2409"/>
      <c r="I99" s="2409"/>
      <c r="J99" s="2409"/>
      <c r="K99" s="2409"/>
      <c r="L99" s="2409"/>
      <c r="M99" s="2409"/>
      <c r="N99" s="2409"/>
      <c r="O99" s="2409"/>
      <c r="P99" s="2409"/>
      <c r="Q99" s="2409"/>
      <c r="R99" s="2409"/>
      <c r="S99" s="2409"/>
      <c r="T99" s="2409"/>
      <c r="U99" s="2409"/>
      <c r="V99" s="2409"/>
      <c r="W99" s="2409"/>
      <c r="X99" s="2409"/>
      <c r="Y99" s="2409"/>
      <c r="Z99" s="2409"/>
      <c r="AA99" s="2409"/>
      <c r="AB99" s="2409"/>
      <c r="AC99" s="2409"/>
      <c r="AD99" s="2409"/>
      <c r="AE99" s="2409"/>
      <c r="AF99" s="2409"/>
      <c r="AG99" s="2409"/>
      <c r="AH99" s="2409"/>
      <c r="AI99" s="2409"/>
      <c r="AJ99" s="2410"/>
      <c r="AK99" s="543"/>
      <c r="AL99" s="540"/>
      <c r="AM99" s="540"/>
      <c r="AN99" s="535"/>
    </row>
    <row r="100" spans="1:47" s="536" customFormat="1" ht="12.75" customHeight="1">
      <c r="A100" s="538"/>
      <c r="B100" s="539"/>
      <c r="C100" s="539"/>
      <c r="D100" s="539"/>
      <c r="E100" s="2408"/>
      <c r="F100" s="2409"/>
      <c r="G100" s="2409"/>
      <c r="H100" s="2409"/>
      <c r="I100" s="2409"/>
      <c r="J100" s="2409"/>
      <c r="K100" s="2409"/>
      <c r="L100" s="2409"/>
      <c r="M100" s="2409"/>
      <c r="N100" s="2409"/>
      <c r="O100" s="2409"/>
      <c r="P100" s="2409"/>
      <c r="Q100" s="2409"/>
      <c r="R100" s="2409"/>
      <c r="S100" s="2409"/>
      <c r="T100" s="2409"/>
      <c r="U100" s="2409"/>
      <c r="V100" s="2409"/>
      <c r="W100" s="2409"/>
      <c r="X100" s="2409"/>
      <c r="Y100" s="2409"/>
      <c r="Z100" s="2409"/>
      <c r="AA100" s="2409"/>
      <c r="AB100" s="2409"/>
      <c r="AC100" s="2409"/>
      <c r="AD100" s="2409"/>
      <c r="AE100" s="2409"/>
      <c r="AF100" s="2409"/>
      <c r="AG100" s="2409"/>
      <c r="AH100" s="2409"/>
      <c r="AI100" s="2409"/>
      <c r="AJ100" s="2410"/>
      <c r="AK100" s="543"/>
      <c r="AL100" s="540"/>
      <c r="AM100" s="540"/>
      <c r="AN100" s="535"/>
    </row>
    <row r="101" spans="1:47" s="536" customFormat="1" ht="12.75" customHeight="1">
      <c r="A101" s="538"/>
      <c r="B101" s="539"/>
      <c r="C101" s="539"/>
      <c r="D101" s="539"/>
      <c r="E101" s="2408"/>
      <c r="F101" s="2409"/>
      <c r="G101" s="2409"/>
      <c r="H101" s="2409"/>
      <c r="I101" s="2409"/>
      <c r="J101" s="2409"/>
      <c r="K101" s="2409"/>
      <c r="L101" s="2409"/>
      <c r="M101" s="2409"/>
      <c r="N101" s="2409"/>
      <c r="O101" s="2409"/>
      <c r="P101" s="2409"/>
      <c r="Q101" s="2409"/>
      <c r="R101" s="2409"/>
      <c r="S101" s="2409"/>
      <c r="T101" s="2409"/>
      <c r="U101" s="2409"/>
      <c r="V101" s="2409"/>
      <c r="W101" s="2409"/>
      <c r="X101" s="2409"/>
      <c r="Y101" s="2409"/>
      <c r="Z101" s="2409"/>
      <c r="AA101" s="2409"/>
      <c r="AB101" s="2409"/>
      <c r="AC101" s="2409"/>
      <c r="AD101" s="2409"/>
      <c r="AE101" s="2409"/>
      <c r="AF101" s="2409"/>
      <c r="AG101" s="2409"/>
      <c r="AH101" s="2409"/>
      <c r="AI101" s="2409"/>
      <c r="AJ101" s="2410"/>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388">
        <f>Application!AC753</f>
        <v>0.58141263940520438</v>
      </c>
      <c r="F103" s="2389"/>
      <c r="G103" s="2389"/>
      <c r="H103" s="2389"/>
      <c r="I103" s="577"/>
      <c r="J103" s="580" t="s">
        <v>1325</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388">
        <f ca="1">SUMIF(Application!AC718:AG752,0.2,Application!G718:J752)/Application!G753+SUMIF(Application!AC718:AG752,0.25,Application!G718:J752)/Application!G753+SUMIF(Application!AC718:AG752,0.3,Application!G718:J752)/Application!G753</f>
        <v>0.10408921933085502</v>
      </c>
      <c r="F104" s="2389"/>
      <c r="G104" s="2389"/>
      <c r="H104" s="2389"/>
      <c r="I104" s="577"/>
      <c r="J104" s="580" t="s">
        <v>1328</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388">
        <f ca="1">SUMIF(Application!AC718:AG752,0.35,Application!G718:J752)/Application!G753+SUMIF(Application!AC718:AG752,0.4,Application!G718:J752)/Application!G753+SUMIF(Application!AC718:AG752,0.45,Application!G718:J752)/Application!G753+SUMIF(Application!AC718:AG752,0.5,Application!G718:J752)/Application!G753</f>
        <v>0.10408921933085502</v>
      </c>
      <c r="F105" s="2389"/>
      <c r="G105" s="2389"/>
      <c r="H105" s="2389"/>
      <c r="I105" s="577"/>
      <c r="J105" s="580" t="s">
        <v>1329</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446">
        <f ca="1">IF(AND(E103&lt;=0.6,OR(AND(E104&gt;=0.1,E105&gt;=0.1),AND(E104&gt;0.1,(E104+E105)&gt;=0.2))),20,0)</f>
        <v>20</v>
      </c>
      <c r="F106" s="2447"/>
      <c r="G106" s="2447"/>
      <c r="H106" s="2447"/>
      <c r="I106" s="553"/>
      <c r="J106" s="587" t="s">
        <v>1327</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 ca="1">IF(B98="yes",E106,0)</f>
        <v>20</v>
      </c>
      <c r="AQ106" s="536" t="s">
        <v>1307</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1330</v>
      </c>
      <c r="AK109" s="2427">
        <f ca="1">MAX(AP95,AP106)</f>
        <v>20</v>
      </c>
      <c r="AL109" s="2428"/>
      <c r="AM109" s="2429"/>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1331</v>
      </c>
      <c r="B112" s="539" t="s">
        <v>1332</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04" t="s">
        <v>1313</v>
      </c>
      <c r="AF112" s="2404"/>
      <c r="AG112" s="2404"/>
      <c r="AH112" s="2404"/>
      <c r="AI112" s="2404"/>
      <c r="AJ112" s="2404"/>
      <c r="AK112" s="2404"/>
      <c r="AL112" s="540"/>
      <c r="AM112" s="540"/>
      <c r="AN112" s="535"/>
      <c r="AO112" s="536" t="str">
        <f>Application!B718</f>
        <v>SRO/Studio</v>
      </c>
      <c r="AQ112" s="536">
        <f>Application!O718</f>
        <v>868</v>
      </c>
    </row>
    <row r="113" spans="1:52" s="536" customFormat="1" ht="12.75" customHeight="1">
      <c r="A113" s="540"/>
      <c r="B113" s="539" t="s">
        <v>1323</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SRO/Studio</v>
      </c>
      <c r="AQ113" s="536">
        <f>Application!O719</f>
        <v>1447</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SRO/Studio</v>
      </c>
      <c r="AQ114" s="536">
        <f>Application!O720</f>
        <v>1737</v>
      </c>
    </row>
    <row r="115" spans="1:52" s="536" customFormat="1" ht="12.75" customHeight="1">
      <c r="A115" s="540"/>
      <c r="B115" s="2394" t="s">
        <v>545</v>
      </c>
      <c r="C115" s="2394"/>
      <c r="D115" s="547" t="s">
        <v>1314</v>
      </c>
      <c r="E115" s="2405" t="s">
        <v>1857</v>
      </c>
      <c r="F115" s="2406"/>
      <c r="G115" s="2406"/>
      <c r="H115" s="2406"/>
      <c r="I115" s="2406"/>
      <c r="J115" s="2406"/>
      <c r="K115" s="2406"/>
      <c r="L115" s="2406"/>
      <c r="M115" s="2406"/>
      <c r="N115" s="2406"/>
      <c r="O115" s="2406"/>
      <c r="P115" s="2406"/>
      <c r="Q115" s="2406"/>
      <c r="R115" s="2406"/>
      <c r="S115" s="2406"/>
      <c r="T115" s="2406"/>
      <c r="U115" s="2406"/>
      <c r="V115" s="2406"/>
      <c r="W115" s="2406"/>
      <c r="X115" s="2406"/>
      <c r="Y115" s="2406"/>
      <c r="Z115" s="2406"/>
      <c r="AA115" s="2406"/>
      <c r="AB115" s="2406"/>
      <c r="AC115" s="2406"/>
      <c r="AD115" s="2406"/>
      <c r="AE115" s="2406"/>
      <c r="AF115" s="2406"/>
      <c r="AG115" s="2406"/>
      <c r="AH115" s="2406"/>
      <c r="AI115" s="2406"/>
      <c r="AJ115" s="2407"/>
      <c r="AK115" s="540"/>
      <c r="AL115" s="540"/>
      <c r="AM115" s="540"/>
      <c r="AN115" s="535"/>
      <c r="AO115" s="536" t="str">
        <f>Application!B721</f>
        <v>1 Bedroom</v>
      </c>
      <c r="AQ115" s="536">
        <f>Application!O721</f>
        <v>1550</v>
      </c>
      <c r="AU115" s="536" t="s">
        <v>1839</v>
      </c>
      <c r="AV115" s="595" t="s">
        <v>1840</v>
      </c>
      <c r="AW115" s="536" t="s">
        <v>1841</v>
      </c>
    </row>
    <row r="116" spans="1:52" s="536" customFormat="1" ht="12.75" customHeight="1">
      <c r="A116" s="540"/>
      <c r="B116" s="539"/>
      <c r="C116" s="539"/>
      <c r="D116" s="539"/>
      <c r="E116" s="2408"/>
      <c r="F116" s="2409"/>
      <c r="G116" s="2409"/>
      <c r="H116" s="2409"/>
      <c r="I116" s="2409"/>
      <c r="J116" s="2409"/>
      <c r="K116" s="2409"/>
      <c r="L116" s="2409"/>
      <c r="M116" s="2409"/>
      <c r="N116" s="2409"/>
      <c r="O116" s="2409"/>
      <c r="P116" s="2409"/>
      <c r="Q116" s="2409"/>
      <c r="R116" s="2409"/>
      <c r="S116" s="2409"/>
      <c r="T116" s="2409"/>
      <c r="U116" s="2409"/>
      <c r="V116" s="2409"/>
      <c r="W116" s="2409"/>
      <c r="X116" s="2409"/>
      <c r="Y116" s="2409"/>
      <c r="Z116" s="2409"/>
      <c r="AA116" s="2409"/>
      <c r="AB116" s="2409"/>
      <c r="AC116" s="2409"/>
      <c r="AD116" s="2409"/>
      <c r="AE116" s="2409"/>
      <c r="AF116" s="2409"/>
      <c r="AG116" s="2409"/>
      <c r="AH116" s="2409"/>
      <c r="AI116" s="2409"/>
      <c r="AJ116" s="2410"/>
      <c r="AK116" s="540"/>
      <c r="AL116" s="540"/>
      <c r="AM116" s="540"/>
      <c r="AN116" s="535"/>
      <c r="AO116" s="536" t="str">
        <f>Application!B722</f>
        <v>1 Bedroom</v>
      </c>
      <c r="AQ116" s="536">
        <f>Application!O722</f>
        <v>1860</v>
      </c>
      <c r="AU116" s="856" t="str">
        <f>E124</f>
        <v>Studio/SRO</v>
      </c>
      <c r="AV116" s="536">
        <f t="array" ref="AV116">SUM(IF(Application!B718:F752="SRO/Studio",Application!G718:J752))</f>
        <v>74</v>
      </c>
      <c r="AW116" s="1011">
        <f>AV116/AV122</f>
        <v>0.27509293680297398</v>
      </c>
    </row>
    <row r="117" spans="1:52" s="536" customFormat="1" ht="12.75" customHeight="1">
      <c r="A117" s="540"/>
      <c r="B117" s="539"/>
      <c r="C117" s="539"/>
      <c r="D117" s="539"/>
      <c r="E117" s="2408"/>
      <c r="F117" s="2409"/>
      <c r="G117" s="2409"/>
      <c r="H117" s="2409"/>
      <c r="I117" s="2409"/>
      <c r="J117" s="2409"/>
      <c r="K117" s="2409"/>
      <c r="L117" s="2409"/>
      <c r="M117" s="2409"/>
      <c r="N117" s="2409"/>
      <c r="O117" s="2409"/>
      <c r="P117" s="2409"/>
      <c r="Q117" s="2409"/>
      <c r="R117" s="2409"/>
      <c r="S117" s="2409"/>
      <c r="T117" s="2409"/>
      <c r="U117" s="2409"/>
      <c r="V117" s="2409"/>
      <c r="W117" s="2409"/>
      <c r="X117" s="2409"/>
      <c r="Y117" s="2409"/>
      <c r="Z117" s="2409"/>
      <c r="AA117" s="2409"/>
      <c r="AB117" s="2409"/>
      <c r="AC117" s="2409"/>
      <c r="AD117" s="2409"/>
      <c r="AE117" s="2409"/>
      <c r="AF117" s="2409"/>
      <c r="AG117" s="2409"/>
      <c r="AH117" s="2409"/>
      <c r="AI117" s="2409"/>
      <c r="AJ117" s="2410"/>
      <c r="AK117" s="540"/>
      <c r="AL117" s="540"/>
      <c r="AM117" s="540"/>
      <c r="AN117" s="535"/>
      <c r="AO117" s="536" t="str">
        <f>Application!B723</f>
        <v>1 Bedroom</v>
      </c>
      <c r="AQ117" s="536">
        <f>Application!O723</f>
        <v>2170</v>
      </c>
      <c r="AU117" s="856" t="str">
        <f>J124</f>
        <v>1-bedroom</v>
      </c>
      <c r="AV117" s="536">
        <f t="array" ref="AV117">SUM(IF(Application!B718:F752="1 Bedroom",Application!G718:J752))</f>
        <v>159</v>
      </c>
      <c r="AW117" s="1011">
        <f>AV117/AV122</f>
        <v>0.59107806691449816</v>
      </c>
    </row>
    <row r="118" spans="1:52" s="536" customFormat="1" ht="12.75" customHeight="1">
      <c r="A118" s="540"/>
      <c r="B118" s="539"/>
      <c r="C118" s="539"/>
      <c r="D118" s="539"/>
      <c r="E118" s="2408"/>
      <c r="F118" s="2409"/>
      <c r="G118" s="2409"/>
      <c r="H118" s="2409"/>
      <c r="I118" s="2409"/>
      <c r="J118" s="2409"/>
      <c r="K118" s="2409"/>
      <c r="L118" s="2409"/>
      <c r="M118" s="2409"/>
      <c r="N118" s="2409"/>
      <c r="O118" s="2409"/>
      <c r="P118" s="2409"/>
      <c r="Q118" s="2409"/>
      <c r="R118" s="2409"/>
      <c r="S118" s="2409"/>
      <c r="T118" s="2409"/>
      <c r="U118" s="2409"/>
      <c r="V118" s="2409"/>
      <c r="W118" s="2409"/>
      <c r="X118" s="2409"/>
      <c r="Y118" s="2409"/>
      <c r="Z118" s="2409"/>
      <c r="AA118" s="2409"/>
      <c r="AB118" s="2409"/>
      <c r="AC118" s="2409"/>
      <c r="AD118" s="2409"/>
      <c r="AE118" s="2409"/>
      <c r="AF118" s="2409"/>
      <c r="AG118" s="2409"/>
      <c r="AH118" s="2409"/>
      <c r="AI118" s="2409"/>
      <c r="AJ118" s="2410"/>
      <c r="AK118" s="540"/>
      <c r="AL118" s="540"/>
      <c r="AM118" s="540"/>
      <c r="AN118" s="535"/>
      <c r="AO118" s="536" t="str">
        <f>Application!B724</f>
        <v>2 Bedrooms</v>
      </c>
      <c r="AQ118" s="536">
        <f>Application!O724</f>
        <v>1861</v>
      </c>
      <c r="AU118" s="856" t="str">
        <f>O124</f>
        <v>2-bedroom</v>
      </c>
      <c r="AV118" s="536">
        <f t="array" ref="AV118">SUM(IF(Application!B718:F752="2 Bedrooms",Application!G718:J752))</f>
        <v>22</v>
      </c>
      <c r="AW118" s="1011">
        <f>AV118/AV122</f>
        <v>8.1784386617100371E-2</v>
      </c>
    </row>
    <row r="119" spans="1:52" s="536" customFormat="1" ht="12.75" customHeight="1">
      <c r="A119" s="540"/>
      <c r="B119" s="539"/>
      <c r="C119" s="539"/>
      <c r="D119" s="539"/>
      <c r="E119" s="2408"/>
      <c r="F119" s="2409"/>
      <c r="G119" s="2409"/>
      <c r="H119" s="2409"/>
      <c r="I119" s="2409"/>
      <c r="J119" s="2409"/>
      <c r="K119" s="2409"/>
      <c r="L119" s="2409"/>
      <c r="M119" s="2409"/>
      <c r="N119" s="2409"/>
      <c r="O119" s="2409"/>
      <c r="P119" s="2409"/>
      <c r="Q119" s="2409"/>
      <c r="R119" s="2409"/>
      <c r="S119" s="2409"/>
      <c r="T119" s="2409"/>
      <c r="U119" s="2409"/>
      <c r="V119" s="2409"/>
      <c r="W119" s="2409"/>
      <c r="X119" s="2409"/>
      <c r="Y119" s="2409"/>
      <c r="Z119" s="2409"/>
      <c r="AA119" s="2409"/>
      <c r="AB119" s="2409"/>
      <c r="AC119" s="2409"/>
      <c r="AD119" s="2409"/>
      <c r="AE119" s="2409"/>
      <c r="AF119" s="2409"/>
      <c r="AG119" s="2409"/>
      <c r="AH119" s="2409"/>
      <c r="AI119" s="2409"/>
      <c r="AJ119" s="2410"/>
      <c r="AK119" s="540"/>
      <c r="AL119" s="540"/>
      <c r="AM119" s="540"/>
      <c r="AN119" s="535"/>
      <c r="AO119" s="536" t="str">
        <f>Application!B725</f>
        <v>2 Bedrooms</v>
      </c>
      <c r="AQ119" s="536">
        <f>Application!O725</f>
        <v>2233</v>
      </c>
      <c r="AU119" s="856" t="str">
        <f>T124</f>
        <v>3-bedroom</v>
      </c>
      <c r="AV119" s="536">
        <f t="array" ref="AV119">SUM(IF(Application!B718:F752="3 Bedrooms",Application!G718:J752))</f>
        <v>14</v>
      </c>
      <c r="AW119" s="1011">
        <f>AV119/AV122</f>
        <v>5.204460966542751E-2</v>
      </c>
    </row>
    <row r="120" spans="1:52" s="536" customFormat="1" ht="12.75" customHeight="1">
      <c r="A120" s="540"/>
      <c r="B120" s="539"/>
      <c r="C120" s="539"/>
      <c r="D120" s="539"/>
      <c r="E120" s="2408"/>
      <c r="F120" s="2409"/>
      <c r="G120" s="2409"/>
      <c r="H120" s="2409"/>
      <c r="I120" s="2409"/>
      <c r="J120" s="2409"/>
      <c r="K120" s="2409"/>
      <c r="L120" s="2409"/>
      <c r="M120" s="2409"/>
      <c r="N120" s="2409"/>
      <c r="O120" s="2409"/>
      <c r="P120" s="2409"/>
      <c r="Q120" s="2409"/>
      <c r="R120" s="2409"/>
      <c r="S120" s="2409"/>
      <c r="T120" s="2409"/>
      <c r="U120" s="2409"/>
      <c r="V120" s="2409"/>
      <c r="W120" s="2409"/>
      <c r="X120" s="2409"/>
      <c r="Y120" s="2409"/>
      <c r="Z120" s="2409"/>
      <c r="AA120" s="2409"/>
      <c r="AB120" s="2409"/>
      <c r="AC120" s="2409"/>
      <c r="AD120" s="2409"/>
      <c r="AE120" s="2409"/>
      <c r="AF120" s="2409"/>
      <c r="AG120" s="2409"/>
      <c r="AH120" s="2409"/>
      <c r="AI120" s="2409"/>
      <c r="AJ120" s="2410"/>
      <c r="AK120" s="540"/>
      <c r="AL120" s="540"/>
      <c r="AM120" s="540"/>
      <c r="AN120" s="535"/>
      <c r="AO120" s="536" t="str">
        <f>Application!B726</f>
        <v>3 Bedrooms</v>
      </c>
      <c r="AQ120" s="536">
        <f>Application!O726</f>
        <v>2150</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408"/>
      <c r="F121" s="2409"/>
      <c r="G121" s="2409"/>
      <c r="H121" s="2409"/>
      <c r="I121" s="2409"/>
      <c r="J121" s="2409"/>
      <c r="K121" s="2409"/>
      <c r="L121" s="2409"/>
      <c r="M121" s="2409"/>
      <c r="N121" s="2409"/>
      <c r="O121" s="2409"/>
      <c r="P121" s="2409"/>
      <c r="Q121" s="2409"/>
      <c r="R121" s="2409"/>
      <c r="S121" s="2409"/>
      <c r="T121" s="2409"/>
      <c r="U121" s="2409"/>
      <c r="V121" s="2409"/>
      <c r="W121" s="2409"/>
      <c r="X121" s="2409"/>
      <c r="Y121" s="2409"/>
      <c r="Z121" s="2409"/>
      <c r="AA121" s="2409"/>
      <c r="AB121" s="2409"/>
      <c r="AC121" s="2409"/>
      <c r="AD121" s="2409"/>
      <c r="AE121" s="2409"/>
      <c r="AF121" s="2409"/>
      <c r="AG121" s="2409"/>
      <c r="AH121" s="2409"/>
      <c r="AI121" s="2409"/>
      <c r="AJ121" s="2410"/>
      <c r="AK121" s="540"/>
      <c r="AL121" s="540"/>
      <c r="AM121" s="540"/>
      <c r="AN121" s="535"/>
      <c r="AO121" s="536" t="str">
        <f>Application!B727</f>
        <v>3 Bedrooms</v>
      </c>
      <c r="AQ121" s="536">
        <f>Application!O727</f>
        <v>3010</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408"/>
      <c r="F122" s="2409"/>
      <c r="G122" s="2409"/>
      <c r="H122" s="2409"/>
      <c r="I122" s="2409"/>
      <c r="J122" s="2409"/>
      <c r="K122" s="2409"/>
      <c r="L122" s="2409"/>
      <c r="M122" s="2409"/>
      <c r="N122" s="2409"/>
      <c r="O122" s="2409"/>
      <c r="P122" s="2409"/>
      <c r="Q122" s="2409"/>
      <c r="R122" s="2409"/>
      <c r="S122" s="2409"/>
      <c r="T122" s="2409"/>
      <c r="U122" s="2409"/>
      <c r="V122" s="2409"/>
      <c r="W122" s="2409"/>
      <c r="X122" s="2409"/>
      <c r="Y122" s="2409"/>
      <c r="Z122" s="2409"/>
      <c r="AA122" s="2409"/>
      <c r="AB122" s="2409"/>
      <c r="AC122" s="2409"/>
      <c r="AD122" s="2409"/>
      <c r="AE122" s="2409"/>
      <c r="AF122" s="2409"/>
      <c r="AG122" s="2409"/>
      <c r="AH122" s="2409"/>
      <c r="AI122" s="2409"/>
      <c r="AJ122" s="2410"/>
      <c r="AK122" s="540"/>
      <c r="AL122" s="540"/>
      <c r="AM122" s="540"/>
      <c r="AN122" s="535"/>
      <c r="AO122" s="536">
        <f>Application!B728</f>
        <v>0</v>
      </c>
      <c r="AQ122" s="536">
        <f>Application!O728</f>
        <v>0</v>
      </c>
      <c r="AV122" s="536">
        <f>SUM(AV116:AV121)</f>
        <v>269</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f>Application!B729</f>
        <v>0</v>
      </c>
      <c r="AQ123" s="536">
        <f>Application!O729</f>
        <v>0</v>
      </c>
    </row>
    <row r="124" spans="1:52" s="536" customFormat="1" ht="12.75" customHeight="1">
      <c r="A124" s="540"/>
      <c r="B124" s="539"/>
      <c r="C124" s="540"/>
      <c r="D124" s="540"/>
      <c r="E124" s="2388" t="s">
        <v>1587</v>
      </c>
      <c r="F124" s="2389"/>
      <c r="G124" s="2389"/>
      <c r="H124" s="2389"/>
      <c r="I124" s="577"/>
      <c r="J124" s="2389" t="s">
        <v>1630</v>
      </c>
      <c r="K124" s="2389"/>
      <c r="L124" s="2389"/>
      <c r="M124" s="2389"/>
      <c r="N124" s="577"/>
      <c r="O124" s="2389" t="s">
        <v>1631</v>
      </c>
      <c r="P124" s="2389"/>
      <c r="Q124" s="2389"/>
      <c r="R124" s="2389"/>
      <c r="S124" s="577"/>
      <c r="T124" s="2389" t="s">
        <v>1333</v>
      </c>
      <c r="U124" s="2389"/>
      <c r="V124" s="2389"/>
      <c r="W124" s="2389"/>
      <c r="X124" s="577"/>
      <c r="Y124" s="2389" t="s">
        <v>1632</v>
      </c>
      <c r="Z124" s="2389"/>
      <c r="AA124" s="2389"/>
      <c r="AB124" s="2389"/>
      <c r="AC124" s="577"/>
      <c r="AD124" s="2389" t="s">
        <v>1633</v>
      </c>
      <c r="AE124" s="2389"/>
      <c r="AF124" s="2389"/>
      <c r="AG124" s="2389"/>
      <c r="AH124" s="577"/>
      <c r="AI124" s="577"/>
      <c r="AJ124" s="579"/>
      <c r="AK124" s="540"/>
      <c r="AL124" s="540"/>
      <c r="AM124" s="540"/>
      <c r="AN124" s="535"/>
      <c r="AO124" s="536">
        <f>Application!B730</f>
        <v>0</v>
      </c>
      <c r="AQ124" s="536">
        <f>Application!O730</f>
        <v>0</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f>Application!B731</f>
        <v>0</v>
      </c>
      <c r="AQ125" s="536">
        <f>Application!O731</f>
        <v>0</v>
      </c>
    </row>
    <row r="126" spans="1:52" s="536" customFormat="1" ht="12.75" customHeight="1">
      <c r="A126" s="540"/>
      <c r="B126" s="539"/>
      <c r="C126" s="540"/>
      <c r="D126" s="540"/>
      <c r="E126" s="866" t="s">
        <v>1634</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448">
        <v>2598</v>
      </c>
      <c r="F127" s="2449"/>
      <c r="G127" s="2449"/>
      <c r="H127" s="2449"/>
      <c r="I127" s="864"/>
      <c r="J127" s="2449">
        <v>2906</v>
      </c>
      <c r="K127" s="2449"/>
      <c r="L127" s="2449"/>
      <c r="M127" s="2449"/>
      <c r="N127" s="864"/>
      <c r="O127" s="2449">
        <v>3772</v>
      </c>
      <c r="P127" s="2449"/>
      <c r="Q127" s="2449"/>
      <c r="R127" s="2449"/>
      <c r="S127" s="864"/>
      <c r="T127" s="2449">
        <v>4422</v>
      </c>
      <c r="U127" s="2449"/>
      <c r="V127" s="2449"/>
      <c r="W127" s="2449"/>
      <c r="X127" s="864"/>
      <c r="Y127" s="2449">
        <v>0</v>
      </c>
      <c r="Z127" s="2449"/>
      <c r="AA127" s="2449"/>
      <c r="AB127" s="2449"/>
      <c r="AC127" s="864"/>
      <c r="AD127" s="2449">
        <v>0</v>
      </c>
      <c r="AE127" s="2449"/>
      <c r="AF127" s="2449"/>
      <c r="AG127" s="2449"/>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1843</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441">
        <f>Application!DX670</f>
        <v>1380.7567567567567</v>
      </c>
      <c r="F130" s="2442"/>
      <c r="G130" s="2442"/>
      <c r="H130" s="2442"/>
      <c r="I130" s="864"/>
      <c r="J130" s="2442">
        <f>Application!EC670</f>
        <v>1926.2893081761003</v>
      </c>
      <c r="K130" s="2442"/>
      <c r="L130" s="2442"/>
      <c r="M130" s="2442"/>
      <c r="N130" s="864"/>
      <c r="O130" s="2442">
        <f>Application!EH670</f>
        <v>2182.272727272727</v>
      </c>
      <c r="P130" s="2442"/>
      <c r="Q130" s="2442"/>
      <c r="R130" s="2442"/>
      <c r="S130" s="868"/>
      <c r="T130" s="2442">
        <f>Application!EM670</f>
        <v>2887.1428571428569</v>
      </c>
      <c r="U130" s="2442"/>
      <c r="V130" s="2442"/>
      <c r="W130" s="2442"/>
      <c r="X130" s="868"/>
      <c r="Y130" s="2442">
        <f>Application!ER670</f>
        <v>0</v>
      </c>
      <c r="Z130" s="2442"/>
      <c r="AA130" s="2442"/>
      <c r="AB130" s="2442"/>
      <c r="AC130" s="868"/>
      <c r="AD130" s="2442">
        <f>Application!EW670</f>
        <v>0</v>
      </c>
      <c r="AE130" s="2442"/>
      <c r="AF130" s="2442"/>
      <c r="AG130" s="2442"/>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1844</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640">
        <f>(E127-E130)/E127</f>
        <v>0.4685308865447434</v>
      </c>
      <c r="F133" s="2391"/>
      <c r="G133" s="2391"/>
      <c r="H133" s="2641"/>
      <c r="I133" s="577"/>
      <c r="J133" s="2640">
        <f>(J127-J130)/J127</f>
        <v>0.33713375492907766</v>
      </c>
      <c r="K133" s="2391"/>
      <c r="L133" s="2391"/>
      <c r="M133" s="2641"/>
      <c r="N133" s="577"/>
      <c r="O133" s="2640">
        <f>(O127-O130)/O127</f>
        <v>0.42145473826279772</v>
      </c>
      <c r="P133" s="2391"/>
      <c r="Q133" s="2391"/>
      <c r="R133" s="2641"/>
      <c r="S133" s="577"/>
      <c r="T133" s="2640">
        <f>(T127-T130)/T127</f>
        <v>0.34709569037927251</v>
      </c>
      <c r="U133" s="2391"/>
      <c r="V133" s="2391"/>
      <c r="W133" s="2641"/>
      <c r="X133" s="577"/>
      <c r="Y133" s="2640" t="e">
        <f>(Y127-Y130)/Y127</f>
        <v>#DIV/0!</v>
      </c>
      <c r="Z133" s="2391"/>
      <c r="AA133" s="2391"/>
      <c r="AB133" s="2641"/>
      <c r="AC133" s="577"/>
      <c r="AD133" s="2640" t="e">
        <f>(AD127-AD130)/AD127</f>
        <v>#DIV/0!</v>
      </c>
      <c r="AE133" s="2391"/>
      <c r="AF133" s="2391"/>
      <c r="AG133" s="2641"/>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1845</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443">
        <f>IF(((E133-0.1)*AW116)&gt;0,((E133-0.1)*AW116),0)</f>
        <v>0.10138024388219707</v>
      </c>
      <c r="F136" s="2444"/>
      <c r="G136" s="2444"/>
      <c r="H136" s="2445"/>
      <c r="I136" s="577"/>
      <c r="J136" s="2443">
        <f>IF(((J133-0.1)*AW117)&gt;0,((J133-0.1)*AW117),0)</f>
        <v>0.14016456146365558</v>
      </c>
      <c r="K136" s="2444"/>
      <c r="L136" s="2444"/>
      <c r="M136" s="2445"/>
      <c r="N136" s="577"/>
      <c r="O136" s="2443">
        <f>IF(((O133-0.1)*AW118)&gt;0,((O133-0.1)*AW118),0)</f>
        <v>2.6289978593983455E-2</v>
      </c>
      <c r="P136" s="2444"/>
      <c r="Q136" s="2444"/>
      <c r="R136" s="2445"/>
      <c r="S136" s="577"/>
      <c r="T136" s="2443">
        <f>IF(((T133-0.1)*AW119)&gt;0,((T133-0.1)*AW119),0)</f>
        <v>1.2859998755798569E-2</v>
      </c>
      <c r="U136" s="2444"/>
      <c r="V136" s="2444"/>
      <c r="W136" s="2445"/>
      <c r="X136" s="577"/>
      <c r="Y136" s="2443" t="e">
        <f>IF(((Y133-0.1)*AW120)&gt;0,((Y133-0.1)*AW120),0)</f>
        <v>#DIV/0!</v>
      </c>
      <c r="Z136" s="2444"/>
      <c r="AA136" s="2444"/>
      <c r="AB136" s="2445"/>
      <c r="AC136" s="577"/>
      <c r="AD136" s="2443" t="e">
        <f>IF(((AD133-0.1)*AW121)&gt;0,((AD133-0.1)*AW121),0)</f>
        <v>#DIV/0!</v>
      </c>
      <c r="AE136" s="2444"/>
      <c r="AF136" s="2444"/>
      <c r="AG136" s="2445"/>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640">
        <f>ROUNDDOWN(SUMIF(E136:AG136,"&gt;0"),2)</f>
        <v>0.28000000000000003</v>
      </c>
      <c r="F138" s="2391"/>
      <c r="G138" s="2391"/>
      <c r="H138" s="2641"/>
      <c r="I138" s="577"/>
      <c r="J138" s="580" t="s">
        <v>1846</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427">
        <f>IF((E138*100)&gt;10,10,E138*100)</f>
        <v>10</v>
      </c>
      <c r="F139" s="2428"/>
      <c r="G139" s="2428"/>
      <c r="H139" s="2429"/>
      <c r="I139" s="577"/>
      <c r="J139" s="580" t="s">
        <v>1327</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1334</v>
      </c>
      <c r="AK143" s="2427">
        <f>E139</f>
        <v>10</v>
      </c>
      <c r="AL143" s="2428"/>
      <c r="AM143" s="2429"/>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1335</v>
      </c>
      <c r="AE146" s="2404" t="s">
        <v>1313</v>
      </c>
      <c r="AF146" s="2404"/>
      <c r="AG146" s="2404"/>
      <c r="AH146" s="2404"/>
      <c r="AI146" s="2404"/>
      <c r="AJ146" s="2404"/>
      <c r="AK146" s="2404"/>
      <c r="AL146" s="591"/>
      <c r="AN146" s="592"/>
      <c r="AO146" s="536"/>
    </row>
    <row r="147" spans="1:42" s="539" customFormat="1" ht="12.95" customHeight="1">
      <c r="A147" s="538"/>
      <c r="AE147" s="591"/>
      <c r="AF147" s="591"/>
      <c r="AG147" s="591"/>
      <c r="AH147" s="591"/>
      <c r="AI147" s="591"/>
      <c r="AJ147" s="591"/>
      <c r="AK147" s="591"/>
      <c r="AL147" s="591"/>
      <c r="AN147" s="592"/>
    </row>
    <row r="148" spans="1:42" s="536" customFormat="1" ht="12.75" customHeight="1">
      <c r="A148" s="538"/>
      <c r="B148" s="538" t="s">
        <v>1336</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439" t="s">
        <v>1337</v>
      </c>
      <c r="AG148" s="2439"/>
      <c r="AH148" s="2439"/>
      <c r="AI148" s="2439"/>
      <c r="AJ148" s="2439"/>
      <c r="AK148" s="2439"/>
      <c r="AL148" s="2439"/>
      <c r="AM148" s="539"/>
      <c r="AN148" s="535"/>
    </row>
    <row r="149" spans="1:42" s="536" customFormat="1" ht="12.75" customHeight="1">
      <c r="A149" s="538"/>
      <c r="B149" s="538" t="s">
        <v>532</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440" t="str">
        <f>Application!M243</f>
        <v>Market 2 AGP LLC</v>
      </c>
      <c r="C150" s="2440"/>
      <c r="D150" s="2440"/>
      <c r="E150" s="2440"/>
      <c r="F150" s="2440"/>
      <c r="G150" s="2440"/>
      <c r="H150" s="2440"/>
      <c r="I150" s="2440"/>
      <c r="J150" s="2440"/>
      <c r="K150" s="2440"/>
      <c r="L150" s="2440"/>
      <c r="M150" s="2440"/>
      <c r="N150" s="2440"/>
      <c r="O150" s="2440"/>
      <c r="P150" s="2440"/>
      <c r="Q150" s="2440"/>
      <c r="R150" s="2440"/>
      <c r="S150" s="2440"/>
      <c r="T150" s="2440"/>
      <c r="U150" s="2440"/>
      <c r="V150" s="2440"/>
      <c r="W150" s="2440"/>
      <c r="X150" s="2440"/>
      <c r="Y150" s="2440"/>
      <c r="Z150" s="2440"/>
      <c r="AA150" s="2440"/>
      <c r="AB150" s="2440"/>
      <c r="AC150" s="2440"/>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306</v>
      </c>
      <c r="AP151" s="545"/>
    </row>
    <row r="152" spans="1:42" s="536" customFormat="1" ht="12.75" customHeight="1">
      <c r="A152" s="538"/>
      <c r="B152" s="539" t="s">
        <v>1338</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1339</v>
      </c>
      <c r="AP152" s="489">
        <v>5</v>
      </c>
    </row>
    <row r="153" spans="1:42" s="536" customFormat="1" ht="12.75" customHeight="1">
      <c r="A153" s="538"/>
      <c r="B153" s="2466" t="s">
        <v>1340</v>
      </c>
      <c r="C153" s="2466"/>
      <c r="D153" s="2466"/>
      <c r="E153" s="2466"/>
      <c r="F153" s="2466"/>
      <c r="G153" s="2466"/>
      <c r="H153" s="2466"/>
      <c r="I153" s="2466"/>
      <c r="J153" s="2466"/>
      <c r="K153" s="2466"/>
      <c r="L153" s="2466"/>
      <c r="M153" s="2466"/>
      <c r="N153" s="2466"/>
      <c r="O153" s="2466"/>
      <c r="P153" s="2466"/>
      <c r="Q153" s="2466"/>
      <c r="R153" s="2466"/>
      <c r="S153" s="2466"/>
      <c r="T153" s="2466"/>
      <c r="U153" s="2466"/>
      <c r="V153" s="2466"/>
      <c r="W153" s="2466"/>
      <c r="X153" s="2466"/>
      <c r="Y153" s="2466"/>
      <c r="Z153" s="2466"/>
      <c r="AA153" s="2466"/>
      <c r="AB153" s="2466"/>
      <c r="AC153" s="2466"/>
      <c r="AD153" s="2466"/>
      <c r="AE153" s="2466"/>
      <c r="AF153" s="2466"/>
      <c r="AG153" s="2466"/>
      <c r="AH153" s="2466"/>
      <c r="AI153" s="2466"/>
      <c r="AM153" s="539"/>
      <c r="AN153" s="535"/>
      <c r="AO153" s="476" t="s">
        <v>1340</v>
      </c>
      <c r="AP153" s="489">
        <v>7</v>
      </c>
    </row>
    <row r="154" spans="1:42" s="536" customFormat="1" ht="12.95"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2252</v>
      </c>
      <c r="AP154" s="489">
        <v>7</v>
      </c>
    </row>
    <row r="155" spans="1:42" s="536" customFormat="1" ht="12.75" customHeight="1">
      <c r="A155" s="538"/>
      <c r="B155" s="539" t="s">
        <v>1341</v>
      </c>
      <c r="AB155" s="2467" t="s">
        <v>591</v>
      </c>
      <c r="AC155" s="2467"/>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1342</v>
      </c>
      <c r="AP156" s="489"/>
    </row>
    <row r="157" spans="1:42" s="536" customFormat="1" ht="12.75" customHeight="1">
      <c r="A157" s="538"/>
      <c r="B157" s="538" t="s">
        <v>1343</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1344</v>
      </c>
      <c r="AP157" s="489">
        <v>5</v>
      </c>
    </row>
    <row r="158" spans="1:42" s="536" customFormat="1" ht="12.75" customHeight="1">
      <c r="A158" s="538"/>
      <c r="B158" s="2466" t="s">
        <v>1342</v>
      </c>
      <c r="C158" s="2466"/>
      <c r="D158" s="2466"/>
      <c r="E158" s="2466"/>
      <c r="F158" s="2466"/>
      <c r="G158" s="2466"/>
      <c r="H158" s="2466"/>
      <c r="I158" s="2466"/>
      <c r="J158" s="2466"/>
      <c r="K158" s="2466"/>
      <c r="L158" s="2466"/>
      <c r="M158" s="2466"/>
      <c r="N158" s="2466"/>
      <c r="O158" s="2466"/>
      <c r="P158" s="2466"/>
      <c r="Q158" s="2466"/>
      <c r="R158" s="2466"/>
      <c r="S158" s="2466"/>
      <c r="T158" s="2466"/>
      <c r="U158" s="2466"/>
      <c r="V158" s="2466"/>
      <c r="W158" s="2466"/>
      <c r="X158" s="2466"/>
      <c r="Y158" s="2466"/>
      <c r="Z158" s="2466"/>
      <c r="AA158" s="2466"/>
      <c r="AB158" s="2466"/>
      <c r="AC158" s="2466"/>
      <c r="AD158" s="2466"/>
      <c r="AE158" s="2466"/>
      <c r="AF158" s="2466"/>
      <c r="AG158" s="2466"/>
      <c r="AH158" s="2466"/>
      <c r="AI158" s="2466"/>
      <c r="AJ158" s="2466"/>
      <c r="AN158" s="535"/>
      <c r="AO158" s="476" t="s">
        <v>1345</v>
      </c>
      <c r="AP158" s="489">
        <v>7</v>
      </c>
    </row>
    <row r="159" spans="1:42" s="536" customFormat="1" ht="12.75" customHeight="1">
      <c r="B159" s="539" t="s">
        <v>1346</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627" t="s">
        <v>2475</v>
      </c>
      <c r="C161" s="2627"/>
      <c r="D161" s="2627"/>
      <c r="E161" s="2627"/>
      <c r="F161" s="2627"/>
      <c r="G161" s="2627"/>
      <c r="H161" s="2627"/>
      <c r="I161" s="2627"/>
      <c r="J161" s="2627"/>
      <c r="K161" s="2627"/>
      <c r="L161" s="2627"/>
      <c r="M161" s="2627"/>
      <c r="N161" s="2627"/>
      <c r="O161" s="2627"/>
      <c r="P161" s="2627"/>
      <c r="Q161" s="2627"/>
      <c r="R161" s="2627"/>
      <c r="S161" s="2627"/>
      <c r="T161" s="2627"/>
      <c r="U161" s="2627"/>
      <c r="V161" s="2627"/>
      <c r="W161" s="2627"/>
      <c r="X161" s="2627"/>
      <c r="Y161" s="2627"/>
      <c r="Z161" s="2627"/>
      <c r="AA161" s="2627"/>
      <c r="AB161" s="2627"/>
      <c r="AC161" s="2627"/>
      <c r="AD161" s="2627"/>
      <c r="AE161" s="2627"/>
      <c r="AF161" s="2627"/>
      <c r="AG161" s="2627"/>
      <c r="AH161" s="2627"/>
      <c r="AI161" s="2627"/>
      <c r="AJ161" s="2627"/>
      <c r="AK161" s="1180"/>
      <c r="AM161" s="539"/>
      <c r="AN161" s="535"/>
      <c r="AO161" s="476"/>
      <c r="AP161" s="489"/>
    </row>
    <row r="162" spans="1:42" s="536" customFormat="1" ht="12.75" customHeight="1">
      <c r="B162" s="2627"/>
      <c r="C162" s="2627"/>
      <c r="D162" s="2627"/>
      <c r="E162" s="2627"/>
      <c r="F162" s="2627"/>
      <c r="G162" s="2627"/>
      <c r="H162" s="2627"/>
      <c r="I162" s="2627"/>
      <c r="J162" s="2627"/>
      <c r="K162" s="2627"/>
      <c r="L162" s="2627"/>
      <c r="M162" s="2627"/>
      <c r="N162" s="2627"/>
      <c r="O162" s="2627"/>
      <c r="P162" s="2627"/>
      <c r="Q162" s="2627"/>
      <c r="R162" s="2627"/>
      <c r="S162" s="2627"/>
      <c r="T162" s="2627"/>
      <c r="U162" s="2627"/>
      <c r="V162" s="2627"/>
      <c r="W162" s="2627"/>
      <c r="X162" s="2627"/>
      <c r="Y162" s="2627"/>
      <c r="Z162" s="2627"/>
      <c r="AA162" s="2627"/>
      <c r="AB162" s="2627"/>
      <c r="AC162" s="2627"/>
      <c r="AD162" s="2627"/>
      <c r="AE162" s="2627"/>
      <c r="AF162" s="2627"/>
      <c r="AG162" s="2627"/>
      <c r="AH162" s="2627"/>
      <c r="AI162" s="2627"/>
      <c r="AJ162" s="2627"/>
      <c r="AK162" s="1180"/>
      <c r="AM162" s="539"/>
      <c r="AN162" s="535"/>
      <c r="AO162" s="476"/>
      <c r="AP162" s="489"/>
    </row>
    <row r="163" spans="1:42" s="536" customFormat="1" ht="12.75" customHeight="1">
      <c r="C163" s="2530" t="s">
        <v>2476</v>
      </c>
      <c r="D163" s="2530"/>
      <c r="E163" s="2530"/>
      <c r="F163" s="2530"/>
      <c r="G163" s="2530"/>
      <c r="H163" s="2530"/>
      <c r="I163" s="2530"/>
      <c r="J163" s="2530"/>
      <c r="K163" s="2530"/>
      <c r="L163" s="2530"/>
      <c r="M163" s="2530"/>
      <c r="N163" s="2530"/>
      <c r="O163" s="2530"/>
      <c r="P163" s="2530"/>
      <c r="Q163" s="2530"/>
      <c r="R163" s="2530"/>
      <c r="S163" s="2530"/>
      <c r="T163" s="2530"/>
      <c r="U163" s="2530"/>
      <c r="V163" s="2530"/>
      <c r="W163" s="2530"/>
      <c r="X163" s="2530"/>
      <c r="Y163" s="2530"/>
      <c r="Z163" s="2530"/>
      <c r="AA163" s="2530"/>
      <c r="AB163" s="2530"/>
      <c r="AC163" s="2530"/>
      <c r="AD163" s="2530"/>
      <c r="AE163" s="2530"/>
      <c r="AF163" s="2530"/>
      <c r="AG163" s="2530"/>
      <c r="AH163" s="2530"/>
      <c r="AI163" s="2530"/>
      <c r="AJ163" s="2530"/>
      <c r="AK163" s="1180"/>
      <c r="AM163" s="539"/>
      <c r="AN163" s="535"/>
      <c r="AO163" s="476"/>
      <c r="AP163" s="489"/>
    </row>
    <row r="164" spans="1:42" s="536" customFormat="1" ht="12.75" customHeight="1">
      <c r="B164" s="1180"/>
      <c r="C164" s="2465" t="s">
        <v>2474</v>
      </c>
      <c r="D164" s="2465"/>
      <c r="E164" s="2465"/>
      <c r="F164" s="2465"/>
      <c r="G164" s="2465"/>
      <c r="H164" s="2465"/>
      <c r="I164" s="2465"/>
      <c r="J164" s="2465"/>
      <c r="K164" s="2465"/>
      <c r="L164" s="2465"/>
      <c r="M164" s="2465"/>
      <c r="N164" s="2465"/>
      <c r="O164" s="2465"/>
      <c r="P164" s="2465"/>
      <c r="Q164" s="2465"/>
      <c r="R164" s="2465"/>
      <c r="S164" s="2465"/>
      <c r="T164" s="2465"/>
      <c r="U164" s="2465"/>
      <c r="V164" s="2465"/>
      <c r="W164" s="2465"/>
      <c r="X164" s="2465"/>
      <c r="Y164" s="2465"/>
      <c r="Z164" s="2465"/>
      <c r="AA164" s="1170"/>
      <c r="AB164" s="1170"/>
      <c r="AC164" s="1170"/>
      <c r="AD164" s="1170"/>
      <c r="AE164" s="1170"/>
      <c r="AF164" s="1170"/>
      <c r="AG164" s="1170"/>
      <c r="AH164" s="1170"/>
      <c r="AJ164" s="2467" t="s">
        <v>591</v>
      </c>
      <c r="AK164" s="2467"/>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1348</v>
      </c>
      <c r="AJ166" s="2470">
        <f>IF($AB$155="N/A",VLOOKUP($B$153,$AO$151:$AP$154,2,FALSE),VLOOKUP($B$158,$AO$156:$AP$158,2,FALSE))</f>
        <v>7</v>
      </c>
      <c r="AK166" s="2470"/>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1350</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439" t="s">
        <v>1351</v>
      </c>
      <c r="AG168" s="2439"/>
      <c r="AH168" s="2439"/>
      <c r="AI168" s="2439"/>
      <c r="AJ168" s="2439"/>
      <c r="AK168" s="2439"/>
      <c r="AL168" s="2439"/>
      <c r="AM168" s="603"/>
      <c r="AN168" s="598"/>
    </row>
    <row r="169" spans="1:42" s="550" customFormat="1" ht="12.75" customHeight="1">
      <c r="A169" s="536"/>
      <c r="B169" s="539" t="s">
        <v>1352</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466" t="s">
        <v>1349</v>
      </c>
      <c r="D170" s="2466"/>
      <c r="E170" s="2466"/>
      <c r="F170" s="2466"/>
      <c r="G170" s="2466"/>
      <c r="H170" s="2466"/>
      <c r="I170" s="2466"/>
      <c r="J170" s="2466"/>
      <c r="K170" s="2466"/>
      <c r="L170" s="2466"/>
      <c r="M170" s="2466"/>
      <c r="N170" s="2466"/>
      <c r="O170" s="2466"/>
      <c r="P170" s="2466"/>
      <c r="Q170" s="2466"/>
      <c r="R170" s="2466"/>
      <c r="S170" s="2466"/>
      <c r="T170" s="2466"/>
      <c r="U170" s="2466"/>
      <c r="V170" s="2466"/>
      <c r="W170" s="2466"/>
      <c r="X170" s="2466"/>
      <c r="Y170" s="2466"/>
      <c r="Z170" s="2466"/>
      <c r="AA170" s="2466"/>
      <c r="AB170" s="2466"/>
      <c r="AC170" s="2466"/>
      <c r="AD170" s="2466"/>
      <c r="AE170" s="2466"/>
      <c r="AF170" s="2466"/>
      <c r="AG170" s="2466"/>
      <c r="AH170" s="2466"/>
      <c r="AI170" s="2466"/>
      <c r="AJ170" s="536"/>
      <c r="AK170" s="536"/>
      <c r="AL170" s="536"/>
      <c r="AM170" s="603"/>
      <c r="AN170" s="597"/>
      <c r="AO170" s="476" t="s">
        <v>306</v>
      </c>
      <c r="AP170" s="476"/>
    </row>
    <row r="171" spans="1:42" s="550" customFormat="1" ht="12.95"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1347</v>
      </c>
      <c r="AP171" s="599">
        <v>2</v>
      </c>
    </row>
    <row r="172" spans="1:42" s="550" customFormat="1" ht="12.75" customHeight="1">
      <c r="A172" s="536"/>
      <c r="B172" s="536"/>
      <c r="C172" s="539" t="s">
        <v>1354</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467" t="s">
        <v>591</v>
      </c>
      <c r="AG172" s="2467"/>
      <c r="AH172" s="536"/>
      <c r="AI172" s="536"/>
      <c r="AJ172" s="536"/>
      <c r="AK172" s="536"/>
      <c r="AL172" s="536"/>
      <c r="AM172" s="603"/>
      <c r="AN172" s="597"/>
      <c r="AO172" s="476" t="s">
        <v>1349</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2168</v>
      </c>
      <c r="AP173" s="599">
        <v>3</v>
      </c>
    </row>
    <row r="174" spans="1:42" s="550" customFormat="1" ht="12.75" customHeight="1">
      <c r="A174" s="536"/>
      <c r="B174" s="536"/>
      <c r="C174" s="2466" t="s">
        <v>1342</v>
      </c>
      <c r="D174" s="2466"/>
      <c r="E174" s="2466"/>
      <c r="F174" s="2466"/>
      <c r="G174" s="2466"/>
      <c r="H174" s="2466"/>
      <c r="I174" s="2466"/>
      <c r="J174" s="2466"/>
      <c r="K174" s="2466"/>
      <c r="L174" s="2466"/>
      <c r="M174" s="2466"/>
      <c r="N174" s="2466"/>
      <c r="O174" s="2466"/>
      <c r="P174" s="2466"/>
      <c r="Q174" s="2466"/>
      <c r="R174" s="2466"/>
      <c r="S174" s="2466"/>
      <c r="T174" s="2466"/>
      <c r="U174" s="2466"/>
      <c r="V174" s="2466"/>
      <c r="W174" s="2466"/>
      <c r="X174" s="2466"/>
      <c r="Y174" s="2466"/>
      <c r="Z174" s="2466"/>
      <c r="AA174" s="2466"/>
      <c r="AB174" s="2466"/>
      <c r="AC174" s="2466"/>
      <c r="AD174" s="2466"/>
      <c r="AE174" s="536"/>
      <c r="AF174" s="536"/>
      <c r="AG174" s="536"/>
      <c r="AH174" s="536"/>
      <c r="AI174" s="536"/>
      <c r="AJ174" s="536"/>
      <c r="AK174" s="536"/>
      <c r="AL174" s="536"/>
      <c r="AM174" s="603"/>
      <c r="AN174" s="597"/>
      <c r="AO174" s="602"/>
      <c r="AP174" s="599"/>
    </row>
    <row r="175" spans="1:42" s="550" customFormat="1" ht="12.75" customHeight="1">
      <c r="A175" s="536"/>
      <c r="B175" s="536"/>
      <c r="C175" s="539" t="s">
        <v>1346</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1356</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1342</v>
      </c>
      <c r="AP177" s="476"/>
    </row>
    <row r="178" spans="1:73" s="550" customFormat="1" ht="12.75" customHeight="1">
      <c r="A178" s="536"/>
      <c r="B178" s="536"/>
      <c r="C178" s="2468" t="str">
        <f>Application!AA335</f>
        <v>WinnResidential California LP</v>
      </c>
      <c r="D178" s="2468"/>
      <c r="E178" s="2468"/>
      <c r="F178" s="2468"/>
      <c r="G178" s="2468"/>
      <c r="H178" s="2468"/>
      <c r="I178" s="2468"/>
      <c r="J178" s="2468"/>
      <c r="K178" s="2468"/>
      <c r="L178" s="2468"/>
      <c r="M178" s="2468"/>
      <c r="N178" s="2468"/>
      <c r="O178" s="2468"/>
      <c r="P178" s="2468"/>
      <c r="Q178" s="2468"/>
      <c r="R178" s="2468"/>
      <c r="S178" s="2468"/>
      <c r="T178" s="2468"/>
      <c r="U178" s="2468"/>
      <c r="V178" s="2468"/>
      <c r="W178" s="2468"/>
      <c r="X178" s="2468"/>
      <c r="Y178" s="2468"/>
      <c r="Z178" s="2468"/>
      <c r="AA178" s="2468"/>
      <c r="AB178" s="2468"/>
      <c r="AC178" s="2468"/>
      <c r="AD178" s="2468"/>
      <c r="AE178" s="536"/>
      <c r="AF178" s="536"/>
      <c r="AG178" s="536"/>
      <c r="AH178" s="536"/>
      <c r="AI178" s="536"/>
      <c r="AJ178" s="536"/>
      <c r="AK178" s="536"/>
      <c r="AL178" s="536"/>
      <c r="AM178" s="603"/>
      <c r="AN178" s="597"/>
      <c r="AO178" s="476" t="s">
        <v>1353</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1355</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1357</v>
      </c>
      <c r="AJ180" s="2469">
        <f>IF($AF$172="N/A",VLOOKUP($C$170,$AO$170:$AP$173,2,FALSE),VLOOKUP($C$174,$AO$177:$AP$179,2,FALSE))</f>
        <v>3</v>
      </c>
      <c r="AK180" s="2469"/>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1358</v>
      </c>
      <c r="AK183" s="2427">
        <f>$AJ$166+$AJ$180</f>
        <v>10</v>
      </c>
      <c r="AL183" s="2428"/>
      <c r="AM183" s="2429"/>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1359</v>
      </c>
      <c r="AQ185" s="612">
        <v>0</v>
      </c>
    </row>
    <row r="186" spans="1:73" s="550" customFormat="1" ht="12.75" customHeight="1">
      <c r="A186" s="538" t="s">
        <v>1360</v>
      </c>
      <c r="B186" s="538" t="s">
        <v>1726</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04" t="s">
        <v>1313</v>
      </c>
      <c r="AF186" s="2404"/>
      <c r="AG186" s="2404"/>
      <c r="AH186" s="2404"/>
      <c r="AI186" s="2404"/>
      <c r="AJ186" s="2404"/>
      <c r="AK186" s="2404"/>
      <c r="AL186" s="591"/>
      <c r="AN186" s="597"/>
      <c r="AP186" s="550" t="s">
        <v>1040</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1361</v>
      </c>
      <c r="AQ187" s="550">
        <v>10</v>
      </c>
    </row>
    <row r="188" spans="1:73" s="550" customFormat="1" ht="12.75" customHeight="1">
      <c r="A188" s="536"/>
      <c r="B188" s="2464" t="s">
        <v>1366</v>
      </c>
      <c r="C188" s="2464"/>
      <c r="D188" s="2464"/>
      <c r="E188" s="2464"/>
      <c r="F188" s="2464"/>
      <c r="G188" s="2464"/>
      <c r="H188" s="2464"/>
      <c r="I188" s="2464"/>
      <c r="J188" s="2464"/>
      <c r="K188" s="2464"/>
      <c r="L188" s="2464"/>
      <c r="M188" s="2464"/>
      <c r="N188" s="2464"/>
      <c r="O188" s="2464"/>
      <c r="P188" s="2464"/>
      <c r="Q188" s="2464"/>
      <c r="R188" s="2464"/>
      <c r="S188" s="2464"/>
      <c r="T188" s="2464"/>
      <c r="U188" s="2464"/>
      <c r="V188" s="2464"/>
      <c r="W188" s="2464"/>
      <c r="X188" s="2464"/>
      <c r="Y188" s="2464"/>
      <c r="Z188" s="2464"/>
      <c r="AA188" s="2464"/>
      <c r="AB188" s="2464"/>
      <c r="AC188" s="2464"/>
      <c r="AD188" s="536"/>
      <c r="AE188" s="536"/>
      <c r="AF188" s="2439" t="s">
        <v>1362</v>
      </c>
      <c r="AG188" s="2439"/>
      <c r="AH188" s="2439"/>
      <c r="AI188" s="2439"/>
      <c r="AJ188" s="2439"/>
      <c r="AK188" s="2439"/>
      <c r="AL188" s="2439"/>
      <c r="AN188" s="597"/>
      <c r="AP188" s="550" t="s">
        <v>1042</v>
      </c>
      <c r="AQ188" s="550">
        <v>10</v>
      </c>
    </row>
    <row r="189" spans="1:73" s="550" customFormat="1" ht="12.75" customHeight="1">
      <c r="A189" s="536"/>
      <c r="B189" s="2465" t="s">
        <v>1725</v>
      </c>
      <c r="C189" s="2465"/>
      <c r="D189" s="2465"/>
      <c r="E189" s="2465"/>
      <c r="F189" s="2465"/>
      <c r="G189" s="2465"/>
      <c r="H189" s="2465"/>
      <c r="I189" s="2465"/>
      <c r="J189" s="2465"/>
      <c r="K189" s="2465"/>
      <c r="L189" s="2465"/>
      <c r="M189" s="2465"/>
      <c r="N189" s="2465"/>
      <c r="O189" s="2465"/>
      <c r="P189" s="2465"/>
      <c r="Q189" s="2465"/>
      <c r="R189" s="2465"/>
      <c r="S189" s="2465"/>
      <c r="T189" s="2440" t="s">
        <v>591</v>
      </c>
      <c r="U189" s="2440"/>
      <c r="V189" s="2440"/>
      <c r="W189" s="2440"/>
      <c r="X189" s="2440"/>
      <c r="Y189" s="2440"/>
      <c r="Z189" s="2440"/>
      <c r="AA189" s="2440"/>
      <c r="AB189" s="2440"/>
      <c r="AC189" s="2440"/>
      <c r="AD189" s="536"/>
      <c r="AE189" s="536"/>
      <c r="AF189" s="536"/>
      <c r="AG189" s="536"/>
      <c r="AH189" s="536"/>
      <c r="AI189" s="536"/>
      <c r="AJ189" s="543"/>
      <c r="AK189" s="595"/>
      <c r="AL189" s="595"/>
      <c r="AM189" s="595"/>
      <c r="AN189" s="597"/>
      <c r="AP189" s="550" t="s">
        <v>1363</v>
      </c>
      <c r="AQ189" s="550">
        <v>10</v>
      </c>
      <c r="AS189" s="550" t="s">
        <v>591</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1366</v>
      </c>
      <c r="AQ190" s="550">
        <v>10</v>
      </c>
      <c r="AS190" s="550" t="s">
        <v>1364</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1365</v>
      </c>
      <c r="AK191" s="2474">
        <f>IF(AK84&gt;0,VLOOKUP($B$188,AP185:AQ191,2,FALSE),0)</f>
        <v>10</v>
      </c>
      <c r="AL191" s="2475"/>
      <c r="AM191" s="2476"/>
      <c r="AN191" s="535"/>
      <c r="AP191" s="550" t="s">
        <v>1368</v>
      </c>
      <c r="AQ191" s="550">
        <v>10</v>
      </c>
      <c r="AS191" s="550" t="s">
        <v>1367</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1369</v>
      </c>
      <c r="B194" s="538" t="s">
        <v>1370</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04" t="s">
        <v>1371</v>
      </c>
      <c r="AF194" s="2404"/>
      <c r="AG194" s="2404"/>
      <c r="AH194" s="2404"/>
      <c r="AI194" s="2404"/>
      <c r="AJ194" s="2404"/>
      <c r="AK194" s="2404"/>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1588</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1624</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451" t="str">
        <f>Application!C555</f>
        <v>Citibank-Conduit (TE Recycled)</v>
      </c>
      <c r="C199" s="2451"/>
      <c r="D199" s="2451"/>
      <c r="E199" s="2451"/>
      <c r="F199" s="2451"/>
      <c r="G199" s="2451"/>
      <c r="H199" s="2451"/>
      <c r="I199" s="2451"/>
      <c r="J199" s="2451"/>
      <c r="K199" s="2451"/>
      <c r="L199" s="2451"/>
      <c r="M199" s="2451"/>
      <c r="N199" s="2451"/>
      <c r="O199" s="2451"/>
      <c r="P199" s="2451"/>
      <c r="Q199" s="2451"/>
      <c r="R199" s="2451"/>
      <c r="S199" s="2451"/>
      <c r="T199" s="2451"/>
      <c r="U199" s="2451"/>
      <c r="V199" s="2451"/>
      <c r="W199" s="2451"/>
      <c r="X199" s="2451"/>
      <c r="Y199" s="2451"/>
      <c r="Z199" s="2451"/>
      <c r="AA199" s="2451"/>
      <c r="AB199" s="2451"/>
      <c r="AC199" s="846"/>
      <c r="AD199" s="2452">
        <f>Application!AM555</f>
        <v>7231271</v>
      </c>
      <c r="AE199" s="2452"/>
      <c r="AF199" s="2452"/>
      <c r="AG199" s="2452"/>
      <c r="AH199" s="2452"/>
      <c r="AI199" s="2452"/>
      <c r="AJ199" s="2452"/>
      <c r="AK199" s="610"/>
    </row>
    <row r="200" spans="1:40">
      <c r="A200" s="605"/>
      <c r="B200" s="2451"/>
      <c r="C200" s="2451"/>
      <c r="D200" s="2451"/>
      <c r="E200" s="2451"/>
      <c r="F200" s="2451"/>
      <c r="G200" s="2451"/>
      <c r="H200" s="2451"/>
      <c r="I200" s="2451"/>
      <c r="J200" s="2451"/>
      <c r="K200" s="2451"/>
      <c r="L200" s="2451"/>
      <c r="M200" s="2451"/>
      <c r="N200" s="2451"/>
      <c r="O200" s="2451"/>
      <c r="P200" s="2451"/>
      <c r="Q200" s="2451"/>
      <c r="R200" s="2451"/>
      <c r="S200" s="2451"/>
      <c r="T200" s="2451"/>
      <c r="U200" s="2451"/>
      <c r="V200" s="2451"/>
      <c r="W200" s="2451"/>
      <c r="X200" s="2451"/>
      <c r="Y200" s="2451"/>
      <c r="Z200" s="2451"/>
      <c r="AA200" s="2451"/>
      <c r="AB200" s="2451"/>
      <c r="AC200" s="846"/>
      <c r="AD200" s="2452"/>
      <c r="AE200" s="2452"/>
      <c r="AF200" s="2452"/>
      <c r="AG200" s="2452"/>
      <c r="AH200" s="2452"/>
      <c r="AI200" s="2452"/>
      <c r="AJ200" s="2452"/>
      <c r="AK200" s="610"/>
    </row>
    <row r="201" spans="1:40">
      <c r="A201" s="605"/>
      <c r="B201" s="2451"/>
      <c r="C201" s="2451"/>
      <c r="D201" s="2451"/>
      <c r="E201" s="2451"/>
      <c r="F201" s="2451"/>
      <c r="G201" s="2451"/>
      <c r="H201" s="2451"/>
      <c r="I201" s="2451"/>
      <c r="J201" s="2451"/>
      <c r="K201" s="2451"/>
      <c r="L201" s="2451"/>
      <c r="M201" s="2451"/>
      <c r="N201" s="2451"/>
      <c r="O201" s="2451"/>
      <c r="P201" s="2451"/>
      <c r="Q201" s="2451"/>
      <c r="R201" s="2451"/>
      <c r="S201" s="2451"/>
      <c r="T201" s="2451"/>
      <c r="U201" s="2451"/>
      <c r="V201" s="2451"/>
      <c r="W201" s="2451"/>
      <c r="X201" s="2451"/>
      <c r="Y201" s="2451"/>
      <c r="Z201" s="2451"/>
      <c r="AA201" s="2451"/>
      <c r="AB201" s="2451"/>
      <c r="AC201" s="846"/>
      <c r="AD201" s="2452"/>
      <c r="AE201" s="2452"/>
      <c r="AF201" s="2452"/>
      <c r="AG201" s="2452"/>
      <c r="AH201" s="2452"/>
      <c r="AI201" s="2452"/>
      <c r="AJ201" s="2452"/>
      <c r="AK201" s="610"/>
    </row>
    <row r="202" spans="1:40">
      <c r="A202" s="605"/>
      <c r="B202" s="2451"/>
      <c r="C202" s="2451"/>
      <c r="D202" s="2451"/>
      <c r="E202" s="2451"/>
      <c r="F202" s="2451"/>
      <c r="G202" s="2451"/>
      <c r="H202" s="2451"/>
      <c r="I202" s="2451"/>
      <c r="J202" s="2451"/>
      <c r="K202" s="2451"/>
      <c r="L202" s="2451"/>
      <c r="M202" s="2451"/>
      <c r="N202" s="2451"/>
      <c r="O202" s="2451"/>
      <c r="P202" s="2451"/>
      <c r="Q202" s="2451"/>
      <c r="R202" s="2451"/>
      <c r="S202" s="2451"/>
      <c r="T202" s="2451"/>
      <c r="U202" s="2451"/>
      <c r="V202" s="2451"/>
      <c r="W202" s="2451"/>
      <c r="X202" s="2451"/>
      <c r="Y202" s="2451"/>
      <c r="Z202" s="2451"/>
      <c r="AA202" s="2451"/>
      <c r="AB202" s="2451"/>
      <c r="AC202" s="846"/>
      <c r="AD202" s="2452"/>
      <c r="AE202" s="2452"/>
      <c r="AF202" s="2452"/>
      <c r="AG202" s="2452"/>
      <c r="AH202" s="2452"/>
      <c r="AI202" s="2452"/>
      <c r="AJ202" s="2452"/>
      <c r="AK202" s="610"/>
    </row>
    <row r="203" spans="1:40">
      <c r="A203" s="605"/>
      <c r="B203" s="2451"/>
      <c r="C203" s="2451"/>
      <c r="D203" s="2451"/>
      <c r="E203" s="2451"/>
      <c r="F203" s="2451"/>
      <c r="G203" s="2451"/>
      <c r="H203" s="2451"/>
      <c r="I203" s="2451"/>
      <c r="J203" s="2451"/>
      <c r="K203" s="2451"/>
      <c r="L203" s="2451"/>
      <c r="M203" s="2451"/>
      <c r="N203" s="2451"/>
      <c r="O203" s="2451"/>
      <c r="P203" s="2451"/>
      <c r="Q203" s="2451"/>
      <c r="R203" s="2451"/>
      <c r="S203" s="2451"/>
      <c r="T203" s="2451"/>
      <c r="U203" s="2451"/>
      <c r="V203" s="2451"/>
      <c r="W203" s="2451"/>
      <c r="X203" s="2451"/>
      <c r="Y203" s="2451"/>
      <c r="Z203" s="2451"/>
      <c r="AA203" s="2451"/>
      <c r="AB203" s="2451"/>
      <c r="AC203" s="846"/>
      <c r="AD203" s="2452"/>
      <c r="AE203" s="2452"/>
      <c r="AF203" s="2452"/>
      <c r="AG203" s="2452"/>
      <c r="AH203" s="2452"/>
      <c r="AI203" s="2452"/>
      <c r="AJ203" s="2452"/>
      <c r="AK203" s="610"/>
    </row>
    <row r="204" spans="1:40">
      <c r="A204" s="605"/>
      <c r="B204" s="2451"/>
      <c r="C204" s="2451"/>
      <c r="D204" s="2451"/>
      <c r="E204" s="2451"/>
      <c r="F204" s="2451"/>
      <c r="G204" s="2451"/>
      <c r="H204" s="2451"/>
      <c r="I204" s="2451"/>
      <c r="J204" s="2451"/>
      <c r="K204" s="2451"/>
      <c r="L204" s="2451"/>
      <c r="M204" s="2451"/>
      <c r="N204" s="2451"/>
      <c r="O204" s="2451"/>
      <c r="P204" s="2451"/>
      <c r="Q204" s="2451"/>
      <c r="R204" s="2451"/>
      <c r="S204" s="2451"/>
      <c r="T204" s="2451"/>
      <c r="U204" s="2451"/>
      <c r="V204" s="2451"/>
      <c r="W204" s="2451"/>
      <c r="X204" s="2451"/>
      <c r="Y204" s="2451"/>
      <c r="Z204" s="2451"/>
      <c r="AA204" s="2451"/>
      <c r="AB204" s="2451"/>
      <c r="AC204" s="846"/>
      <c r="AD204" s="2452"/>
      <c r="AE204" s="2452"/>
      <c r="AF204" s="2452"/>
      <c r="AG204" s="2452"/>
      <c r="AH204" s="2452"/>
      <c r="AI204" s="2452"/>
      <c r="AJ204" s="2452"/>
      <c r="AK204" s="610"/>
    </row>
    <row r="205" spans="1:40">
      <c r="A205" s="605"/>
      <c r="B205" s="2451"/>
      <c r="C205" s="2451"/>
      <c r="D205" s="2451"/>
      <c r="E205" s="2451"/>
      <c r="F205" s="2451"/>
      <c r="G205" s="2451"/>
      <c r="H205" s="2451"/>
      <c r="I205" s="2451"/>
      <c r="J205" s="2451"/>
      <c r="K205" s="2451"/>
      <c r="L205" s="2451"/>
      <c r="M205" s="2451"/>
      <c r="N205" s="2451"/>
      <c r="O205" s="2451"/>
      <c r="P205" s="2451"/>
      <c r="Q205" s="2451"/>
      <c r="R205" s="2451"/>
      <c r="S205" s="2451"/>
      <c r="T205" s="2451"/>
      <c r="U205" s="2451"/>
      <c r="V205" s="2451"/>
      <c r="W205" s="2451"/>
      <c r="X205" s="2451"/>
      <c r="Y205" s="2451"/>
      <c r="Z205" s="2451"/>
      <c r="AA205" s="2451"/>
      <c r="AB205" s="2451"/>
      <c r="AC205" s="846"/>
      <c r="AD205" s="2452"/>
      <c r="AE205" s="2452"/>
      <c r="AF205" s="2452"/>
      <c r="AG205" s="2452"/>
      <c r="AH205" s="2452"/>
      <c r="AI205" s="2452"/>
      <c r="AJ205" s="2452"/>
      <c r="AK205" s="610"/>
    </row>
    <row r="206" spans="1:40">
      <c r="A206" s="605"/>
      <c r="B206" s="2451"/>
      <c r="C206" s="2451"/>
      <c r="D206" s="2451"/>
      <c r="E206" s="2451"/>
      <c r="F206" s="2451"/>
      <c r="G206" s="2451"/>
      <c r="H206" s="2451"/>
      <c r="I206" s="2451"/>
      <c r="J206" s="2451"/>
      <c r="K206" s="2451"/>
      <c r="L206" s="2451"/>
      <c r="M206" s="2451"/>
      <c r="N206" s="2451"/>
      <c r="O206" s="2451"/>
      <c r="P206" s="2451"/>
      <c r="Q206" s="2451"/>
      <c r="R206" s="2451"/>
      <c r="S206" s="2451"/>
      <c r="T206" s="2451"/>
      <c r="U206" s="2451"/>
      <c r="V206" s="2451"/>
      <c r="W206" s="2451"/>
      <c r="X206" s="2451"/>
      <c r="Y206" s="2451"/>
      <c r="Z206" s="2451"/>
      <c r="AA206" s="2451"/>
      <c r="AB206" s="2451"/>
      <c r="AC206" s="846"/>
      <c r="AD206" s="2452"/>
      <c r="AE206" s="2452"/>
      <c r="AF206" s="2452"/>
      <c r="AG206" s="2452"/>
      <c r="AH206" s="2452"/>
      <c r="AI206" s="2452"/>
      <c r="AJ206" s="2452"/>
      <c r="AK206" s="610"/>
    </row>
    <row r="207" spans="1:40">
      <c r="A207" s="605"/>
      <c r="B207" s="2451"/>
      <c r="C207" s="2451"/>
      <c r="D207" s="2451"/>
      <c r="E207" s="2451"/>
      <c r="F207" s="2451"/>
      <c r="G207" s="2451"/>
      <c r="H207" s="2451"/>
      <c r="I207" s="2451"/>
      <c r="J207" s="2451"/>
      <c r="K207" s="2451"/>
      <c r="L207" s="2451"/>
      <c r="M207" s="2451"/>
      <c r="N207" s="2451"/>
      <c r="O207" s="2451"/>
      <c r="P207" s="2451"/>
      <c r="Q207" s="2451"/>
      <c r="R207" s="2451"/>
      <c r="S207" s="2451"/>
      <c r="T207" s="2451"/>
      <c r="U207" s="2451"/>
      <c r="V207" s="2451"/>
      <c r="W207" s="2451"/>
      <c r="X207" s="2451"/>
      <c r="Y207" s="2451"/>
      <c r="Z207" s="2451"/>
      <c r="AA207" s="2451"/>
      <c r="AB207" s="2451"/>
      <c r="AC207" s="846"/>
      <c r="AD207" s="2452"/>
      <c r="AE207" s="2452"/>
      <c r="AF207" s="2452"/>
      <c r="AG207" s="2452"/>
      <c r="AH207" s="2452"/>
      <c r="AI207" s="2452"/>
      <c r="AJ207" s="2452"/>
      <c r="AK207" s="610"/>
    </row>
    <row r="208" spans="1:40">
      <c r="A208" s="605"/>
      <c r="B208" s="2451"/>
      <c r="C208" s="2451"/>
      <c r="D208" s="2451"/>
      <c r="E208" s="2451"/>
      <c r="F208" s="2451"/>
      <c r="G208" s="2451"/>
      <c r="H208" s="2451"/>
      <c r="I208" s="2451"/>
      <c r="J208" s="2451"/>
      <c r="K208" s="2451"/>
      <c r="L208" s="2451"/>
      <c r="M208" s="2451"/>
      <c r="N208" s="2451"/>
      <c r="O208" s="2451"/>
      <c r="P208" s="2451"/>
      <c r="Q208" s="2451"/>
      <c r="R208" s="2451"/>
      <c r="S208" s="2451"/>
      <c r="T208" s="2451"/>
      <c r="U208" s="2451"/>
      <c r="V208" s="2451"/>
      <c r="W208" s="2451"/>
      <c r="X208" s="2451"/>
      <c r="Y208" s="2451"/>
      <c r="Z208" s="2451"/>
      <c r="AA208" s="2451"/>
      <c r="AB208" s="2451"/>
      <c r="AC208" s="846"/>
      <c r="AD208" s="2452"/>
      <c r="AE208" s="2452"/>
      <c r="AF208" s="2452"/>
      <c r="AG208" s="2452"/>
      <c r="AH208" s="2452"/>
      <c r="AI208" s="2452"/>
      <c r="AJ208" s="2452"/>
      <c r="AK208" s="610"/>
    </row>
    <row r="209" spans="1:37">
      <c r="A209" s="605"/>
      <c r="B209" s="2462" t="s">
        <v>1626</v>
      </c>
      <c r="C209" s="2462"/>
      <c r="D209" s="2462"/>
      <c r="E209" s="2462"/>
      <c r="F209" s="2462"/>
      <c r="G209" s="2462"/>
      <c r="H209" s="2462"/>
      <c r="I209" s="2462"/>
      <c r="J209" s="2462"/>
      <c r="K209" s="2462"/>
      <c r="L209" s="2462"/>
      <c r="M209" s="2462"/>
      <c r="N209" s="2462"/>
      <c r="O209" s="2462"/>
      <c r="P209" s="2462"/>
      <c r="Q209" s="2462"/>
      <c r="R209" s="2462"/>
      <c r="S209" s="2462"/>
      <c r="T209" s="2462"/>
      <c r="U209" s="2462"/>
      <c r="V209" s="2462"/>
      <c r="W209" s="2462"/>
      <c r="X209" s="2462"/>
      <c r="Y209" s="2462"/>
      <c r="Z209" s="2462"/>
      <c r="AA209" s="2462"/>
      <c r="AB209" s="2462"/>
      <c r="AC209" s="536"/>
      <c r="AD209" s="2481">
        <f>AB260</f>
        <v>0</v>
      </c>
      <c r="AE209" s="2481"/>
      <c r="AF209" s="2481"/>
      <c r="AG209" s="2481"/>
      <c r="AH209" s="2481"/>
      <c r="AI209" s="2481"/>
      <c r="AJ209" s="2481"/>
      <c r="AK209" s="610"/>
    </row>
    <row r="210" spans="1:37">
      <c r="A210" s="605"/>
      <c r="B210" s="2608" t="s">
        <v>1589</v>
      </c>
      <c r="C210" s="2608"/>
      <c r="D210" s="2608"/>
      <c r="E210" s="2608"/>
      <c r="F210" s="2608"/>
      <c r="G210" s="2608"/>
      <c r="H210" s="2608"/>
      <c r="I210" s="2608"/>
      <c r="J210" s="2608"/>
      <c r="K210" s="2608"/>
      <c r="L210" s="2608"/>
      <c r="M210" s="2608"/>
      <c r="N210" s="2608"/>
      <c r="O210" s="2608"/>
      <c r="P210" s="2608"/>
      <c r="Q210" s="2608"/>
      <c r="R210" s="2608"/>
      <c r="S210" s="2608"/>
      <c r="T210" s="2608"/>
      <c r="U210" s="2608"/>
      <c r="V210" s="2608"/>
      <c r="W210" s="2608"/>
      <c r="X210" s="2608"/>
      <c r="Y210" s="2608"/>
      <c r="Z210" s="2608"/>
      <c r="AA210" s="2608"/>
      <c r="AB210" s="2608"/>
      <c r="AC210" s="846"/>
      <c r="AD210" s="2482">
        <f>'Sources and Uses Budget'!B15</f>
        <v>0</v>
      </c>
      <c r="AE210" s="2482"/>
      <c r="AF210" s="2482"/>
      <c r="AG210" s="2482"/>
      <c r="AH210" s="2482"/>
      <c r="AI210" s="2482"/>
      <c r="AJ210" s="2482"/>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899</v>
      </c>
      <c r="AC211" s="536"/>
      <c r="AD211" s="2486">
        <f>SUM(AD199:AJ209)-AD210</f>
        <v>7231271</v>
      </c>
      <c r="AE211" s="2486"/>
      <c r="AF211" s="2486"/>
      <c r="AG211" s="2486"/>
      <c r="AH211" s="2486"/>
      <c r="AI211" s="2486"/>
      <c r="AJ211" s="2486"/>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1594</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1625</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1596</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1597</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2023</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1598</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1599</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1635</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455" t="s">
        <v>1606</v>
      </c>
      <c r="J222" s="2455"/>
      <c r="K222" s="2455"/>
      <c r="L222" s="536"/>
      <c r="M222" s="536"/>
      <c r="N222" s="536"/>
      <c r="O222" s="536"/>
      <c r="P222" s="536"/>
      <c r="Q222" s="536"/>
      <c r="R222" s="536"/>
      <c r="S222" s="536"/>
      <c r="T222" s="2643" t="s">
        <v>1600</v>
      </c>
      <c r="U222" s="2643"/>
      <c r="V222" s="2643"/>
      <c r="W222" s="2643"/>
      <c r="X222" s="2643"/>
      <c r="Y222" s="2643"/>
      <c r="Z222" s="849"/>
      <c r="AA222" s="489"/>
      <c r="AB222" s="2450" t="s">
        <v>1601</v>
      </c>
      <c r="AC222" s="2450"/>
      <c r="AD222" s="2450"/>
      <c r="AE222" s="2450"/>
      <c r="AF222" s="2450"/>
      <c r="AG222" s="2450"/>
      <c r="AH222" s="827"/>
      <c r="AI222" s="827"/>
      <c r="AJ222" s="827"/>
      <c r="AK222" s="610"/>
    </row>
    <row r="223" spans="1:37">
      <c r="A223" s="605"/>
      <c r="B223" s="2453" t="s">
        <v>1586</v>
      </c>
      <c r="C223" s="2453"/>
      <c r="D223" s="2453"/>
      <c r="E223" s="2453"/>
      <c r="F223" s="2453"/>
      <c r="G223" s="2453"/>
      <c r="I223" s="2454" t="s">
        <v>1607</v>
      </c>
      <c r="J223" s="2454"/>
      <c r="K223" s="2454"/>
      <c r="L223" s="1008"/>
      <c r="N223" s="2460" t="s">
        <v>1602</v>
      </c>
      <c r="O223" s="2460"/>
      <c r="P223" s="2460"/>
      <c r="Q223" s="2460"/>
      <c r="R223" s="2460"/>
      <c r="T223" s="2460" t="s">
        <v>1603</v>
      </c>
      <c r="U223" s="2460"/>
      <c r="V223" s="2460"/>
      <c r="W223" s="2460"/>
      <c r="X223" s="2460"/>
      <c r="Y223" s="2460"/>
      <c r="Z223" s="850"/>
      <c r="AA223" s="489"/>
      <c r="AB223" s="2597" t="s">
        <v>1604</v>
      </c>
      <c r="AC223" s="2597"/>
      <c r="AD223" s="2597"/>
      <c r="AE223" s="2597"/>
      <c r="AF223" s="2597"/>
      <c r="AG223" s="2597"/>
      <c r="AH223" s="827"/>
      <c r="AI223" s="827"/>
      <c r="AJ223" s="827"/>
      <c r="AK223" s="610"/>
    </row>
    <row r="224" spans="1:37">
      <c r="A224" s="605"/>
      <c r="B224" s="2457" t="s">
        <v>1183</v>
      </c>
      <c r="C224" s="2457"/>
      <c r="D224" s="2457"/>
      <c r="E224" s="2457"/>
      <c r="F224" s="2457"/>
      <c r="G224" s="2457"/>
      <c r="H224" s="852"/>
      <c r="I224" s="2456"/>
      <c r="J224" s="2456"/>
      <c r="K224" s="2456"/>
      <c r="L224" s="1008"/>
      <c r="N224" s="2461"/>
      <c r="O224" s="2461"/>
      <c r="P224" s="2461"/>
      <c r="Q224" s="2461"/>
      <c r="R224" s="2461"/>
      <c r="T224" s="2609"/>
      <c r="U224" s="2609"/>
      <c r="V224" s="2609"/>
      <c r="W224" s="2609"/>
      <c r="X224" s="2609"/>
      <c r="Y224" s="2609"/>
      <c r="Z224" s="851"/>
      <c r="AA224" s="851"/>
      <c r="AB224" s="2458">
        <f t="shared" ref="AB224:AB233" si="0">MAX(($T224-$N224)*$I224*12,0)</f>
        <v>0</v>
      </c>
      <c r="AC224" s="2458"/>
      <c r="AD224" s="2458"/>
      <c r="AE224" s="2458"/>
      <c r="AF224" s="2458"/>
      <c r="AG224" s="2458"/>
      <c r="AH224" s="827"/>
      <c r="AI224" s="827"/>
      <c r="AJ224" s="827"/>
      <c r="AK224" s="610"/>
    </row>
    <row r="225" spans="1:37">
      <c r="A225" s="605"/>
      <c r="B225" s="2457" t="s">
        <v>1183</v>
      </c>
      <c r="C225" s="2457"/>
      <c r="D225" s="2457"/>
      <c r="E225" s="2457"/>
      <c r="F225" s="2457"/>
      <c r="G225" s="2457"/>
      <c r="I225" s="2456"/>
      <c r="J225" s="2456"/>
      <c r="K225" s="2456"/>
      <c r="L225" s="1008"/>
      <c r="N225" s="2461"/>
      <c r="O225" s="2461"/>
      <c r="P225" s="2461"/>
      <c r="Q225" s="2461"/>
      <c r="R225" s="2461"/>
      <c r="T225" s="2609"/>
      <c r="U225" s="2609"/>
      <c r="V225" s="2609"/>
      <c r="W225" s="2609"/>
      <c r="X225" s="2609"/>
      <c r="Y225" s="2609"/>
      <c r="Z225" s="851"/>
      <c r="AA225" s="851"/>
      <c r="AB225" s="2458">
        <f t="shared" si="0"/>
        <v>0</v>
      </c>
      <c r="AC225" s="2458"/>
      <c r="AD225" s="2458"/>
      <c r="AE225" s="2458"/>
      <c r="AF225" s="2458"/>
      <c r="AG225" s="2458"/>
      <c r="AH225" s="827"/>
      <c r="AI225" s="827"/>
      <c r="AJ225" s="827"/>
      <c r="AK225" s="610"/>
    </row>
    <row r="226" spans="1:37">
      <c r="A226" s="605"/>
      <c r="B226" s="2457" t="s">
        <v>1183</v>
      </c>
      <c r="C226" s="2457"/>
      <c r="D226" s="2457"/>
      <c r="E226" s="2457"/>
      <c r="F226" s="2457"/>
      <c r="G226" s="2457"/>
      <c r="I226" s="2456"/>
      <c r="J226" s="2456"/>
      <c r="K226" s="2456"/>
      <c r="L226" s="1008"/>
      <c r="N226" s="2461"/>
      <c r="O226" s="2461"/>
      <c r="P226" s="2461"/>
      <c r="Q226" s="2461"/>
      <c r="R226" s="2461"/>
      <c r="T226" s="2609"/>
      <c r="U226" s="2609"/>
      <c r="V226" s="2609"/>
      <c r="W226" s="2609"/>
      <c r="X226" s="2609"/>
      <c r="Y226" s="2609"/>
      <c r="Z226" s="851"/>
      <c r="AA226" s="851"/>
      <c r="AB226" s="2458">
        <f t="shared" si="0"/>
        <v>0</v>
      </c>
      <c r="AC226" s="2458"/>
      <c r="AD226" s="2458"/>
      <c r="AE226" s="2458"/>
      <c r="AF226" s="2458"/>
      <c r="AG226" s="2458"/>
      <c r="AH226" s="827"/>
      <c r="AI226" s="827"/>
      <c r="AJ226" s="827"/>
      <c r="AK226" s="610"/>
    </row>
    <row r="227" spans="1:37">
      <c r="A227" s="605"/>
      <c r="B227" s="2457" t="s">
        <v>1183</v>
      </c>
      <c r="C227" s="2457"/>
      <c r="D227" s="2457"/>
      <c r="E227" s="2457"/>
      <c r="F227" s="2457"/>
      <c r="G227" s="2457"/>
      <c r="I227" s="2456"/>
      <c r="J227" s="2456"/>
      <c r="K227" s="2456"/>
      <c r="L227" s="1008"/>
      <c r="N227" s="2461"/>
      <c r="O227" s="2461"/>
      <c r="P227" s="2461"/>
      <c r="Q227" s="2461"/>
      <c r="R227" s="2461"/>
      <c r="T227" s="2609"/>
      <c r="U227" s="2609"/>
      <c r="V227" s="2609"/>
      <c r="W227" s="2609"/>
      <c r="X227" s="2609"/>
      <c r="Y227" s="2609"/>
      <c r="Z227" s="851"/>
      <c r="AA227" s="851"/>
      <c r="AB227" s="2458">
        <f t="shared" si="0"/>
        <v>0</v>
      </c>
      <c r="AC227" s="2458"/>
      <c r="AD227" s="2458"/>
      <c r="AE227" s="2458"/>
      <c r="AF227" s="2458"/>
      <c r="AG227" s="2458"/>
      <c r="AH227" s="827"/>
      <c r="AI227" s="827"/>
      <c r="AJ227" s="827"/>
      <c r="AK227" s="610"/>
    </row>
    <row r="228" spans="1:37">
      <c r="A228" s="605"/>
      <c r="B228" s="2457" t="s">
        <v>1183</v>
      </c>
      <c r="C228" s="2457"/>
      <c r="D228" s="2457"/>
      <c r="E228" s="2457"/>
      <c r="F228" s="2457"/>
      <c r="G228" s="2457"/>
      <c r="I228" s="2456"/>
      <c r="J228" s="2456"/>
      <c r="K228" s="2456"/>
      <c r="L228" s="1015"/>
      <c r="N228" s="2461"/>
      <c r="O228" s="2461"/>
      <c r="P228" s="2461"/>
      <c r="Q228" s="2461"/>
      <c r="R228" s="2461"/>
      <c r="T228" s="2609"/>
      <c r="U228" s="2609"/>
      <c r="V228" s="2609"/>
      <c r="W228" s="2609"/>
      <c r="X228" s="2609"/>
      <c r="Y228" s="2609"/>
      <c r="Z228" s="851"/>
      <c r="AA228" s="851"/>
      <c r="AB228" s="2458">
        <f t="shared" si="0"/>
        <v>0</v>
      </c>
      <c r="AC228" s="2458"/>
      <c r="AD228" s="2458"/>
      <c r="AE228" s="2458"/>
      <c r="AF228" s="2458"/>
      <c r="AG228" s="2458"/>
      <c r="AH228" s="827"/>
      <c r="AI228" s="827"/>
      <c r="AJ228" s="827"/>
      <c r="AK228" s="610"/>
    </row>
    <row r="229" spans="1:37">
      <c r="A229" s="605"/>
      <c r="B229" s="2457" t="s">
        <v>1183</v>
      </c>
      <c r="C229" s="2457"/>
      <c r="D229" s="2457"/>
      <c r="E229" s="2457"/>
      <c r="F229" s="2457"/>
      <c r="G229" s="2457"/>
      <c r="I229" s="2456"/>
      <c r="J229" s="2456"/>
      <c r="K229" s="2456"/>
      <c r="L229" s="1015"/>
      <c r="N229" s="2461"/>
      <c r="O229" s="2461"/>
      <c r="P229" s="2461"/>
      <c r="Q229" s="2461"/>
      <c r="R229" s="2461"/>
      <c r="T229" s="2609"/>
      <c r="U229" s="2609"/>
      <c r="V229" s="2609"/>
      <c r="W229" s="2609"/>
      <c r="X229" s="2609"/>
      <c r="Y229" s="2609"/>
      <c r="Z229" s="851"/>
      <c r="AA229" s="851"/>
      <c r="AB229" s="2458">
        <f t="shared" si="0"/>
        <v>0</v>
      </c>
      <c r="AC229" s="2458"/>
      <c r="AD229" s="2458"/>
      <c r="AE229" s="2458"/>
      <c r="AF229" s="2458"/>
      <c r="AG229" s="2458"/>
      <c r="AH229" s="827"/>
      <c r="AI229" s="827"/>
      <c r="AJ229" s="827"/>
      <c r="AK229" s="610"/>
    </row>
    <row r="230" spans="1:37">
      <c r="A230" s="605"/>
      <c r="B230" s="2457" t="s">
        <v>1183</v>
      </c>
      <c r="C230" s="2457"/>
      <c r="D230" s="2457"/>
      <c r="E230" s="2457"/>
      <c r="F230" s="2457"/>
      <c r="G230" s="2457"/>
      <c r="I230" s="2456"/>
      <c r="J230" s="2456"/>
      <c r="K230" s="2456"/>
      <c r="L230" s="1015"/>
      <c r="N230" s="2461"/>
      <c r="O230" s="2461"/>
      <c r="P230" s="2461"/>
      <c r="Q230" s="2461"/>
      <c r="R230" s="2461"/>
      <c r="T230" s="2609"/>
      <c r="U230" s="2609"/>
      <c r="V230" s="2609"/>
      <c r="W230" s="2609"/>
      <c r="X230" s="2609"/>
      <c r="Y230" s="2609"/>
      <c r="Z230" s="851"/>
      <c r="AA230" s="851"/>
      <c r="AB230" s="2458">
        <f t="shared" si="0"/>
        <v>0</v>
      </c>
      <c r="AC230" s="2458"/>
      <c r="AD230" s="2458"/>
      <c r="AE230" s="2458"/>
      <c r="AF230" s="2458"/>
      <c r="AG230" s="2458"/>
      <c r="AH230" s="827"/>
      <c r="AI230" s="827"/>
      <c r="AJ230" s="827"/>
      <c r="AK230" s="610"/>
    </row>
    <row r="231" spans="1:37">
      <c r="A231" s="605"/>
      <c r="B231" s="2457" t="s">
        <v>1183</v>
      </c>
      <c r="C231" s="2457"/>
      <c r="D231" s="2457"/>
      <c r="E231" s="2457"/>
      <c r="F231" s="2457"/>
      <c r="G231" s="2457"/>
      <c r="I231" s="2456"/>
      <c r="J231" s="2456"/>
      <c r="K231" s="2456"/>
      <c r="L231" s="1015"/>
      <c r="N231" s="2461"/>
      <c r="O231" s="2461"/>
      <c r="P231" s="2461"/>
      <c r="Q231" s="2461"/>
      <c r="R231" s="2461"/>
      <c r="T231" s="2609"/>
      <c r="U231" s="2609"/>
      <c r="V231" s="2609"/>
      <c r="W231" s="2609"/>
      <c r="X231" s="2609"/>
      <c r="Y231" s="2609"/>
      <c r="Z231" s="851"/>
      <c r="AA231" s="851"/>
      <c r="AB231" s="2458">
        <f t="shared" si="0"/>
        <v>0</v>
      </c>
      <c r="AC231" s="2458"/>
      <c r="AD231" s="2458"/>
      <c r="AE231" s="2458"/>
      <c r="AF231" s="2458"/>
      <c r="AG231" s="2458"/>
      <c r="AH231" s="827"/>
      <c r="AI231" s="827"/>
      <c r="AJ231" s="827"/>
      <c r="AK231" s="610"/>
    </row>
    <row r="232" spans="1:37">
      <c r="A232" s="605"/>
      <c r="B232" s="2457" t="s">
        <v>1183</v>
      </c>
      <c r="C232" s="2457"/>
      <c r="D232" s="2457"/>
      <c r="E232" s="2457"/>
      <c r="F232" s="2457"/>
      <c r="G232" s="2457"/>
      <c r="I232" s="2456"/>
      <c r="J232" s="2456"/>
      <c r="K232" s="2456"/>
      <c r="L232" s="1015"/>
      <c r="N232" s="2461"/>
      <c r="O232" s="2461"/>
      <c r="P232" s="2461"/>
      <c r="Q232" s="2461"/>
      <c r="R232" s="2461"/>
      <c r="T232" s="2609"/>
      <c r="U232" s="2609"/>
      <c r="V232" s="2609"/>
      <c r="W232" s="2609"/>
      <c r="X232" s="2609"/>
      <c r="Y232" s="2609"/>
      <c r="Z232" s="851"/>
      <c r="AA232" s="851"/>
      <c r="AB232" s="2458">
        <f t="shared" si="0"/>
        <v>0</v>
      </c>
      <c r="AC232" s="2458"/>
      <c r="AD232" s="2458"/>
      <c r="AE232" s="2458"/>
      <c r="AF232" s="2458"/>
      <c r="AG232" s="2458"/>
      <c r="AH232" s="827"/>
      <c r="AI232" s="827"/>
      <c r="AJ232" s="827"/>
      <c r="AK232" s="610"/>
    </row>
    <row r="233" spans="1:37">
      <c r="A233" s="605"/>
      <c r="B233" s="2457" t="s">
        <v>1183</v>
      </c>
      <c r="C233" s="2457"/>
      <c r="D233" s="2457"/>
      <c r="E233" s="2457"/>
      <c r="F233" s="2457"/>
      <c r="G233" s="2457"/>
      <c r="I233" s="2459"/>
      <c r="J233" s="2459"/>
      <c r="K233" s="2459"/>
      <c r="L233" s="1015"/>
      <c r="N233" s="2461"/>
      <c r="O233" s="2461"/>
      <c r="P233" s="2461"/>
      <c r="Q233" s="2461"/>
      <c r="R233" s="2461"/>
      <c r="T233" s="2609"/>
      <c r="U233" s="2609"/>
      <c r="V233" s="2609"/>
      <c r="W233" s="2609"/>
      <c r="X233" s="2609"/>
      <c r="Y233" s="2609"/>
      <c r="Z233" s="851"/>
      <c r="AA233" s="851"/>
      <c r="AB233" s="2607">
        <f t="shared" si="0"/>
        <v>0</v>
      </c>
      <c r="AC233" s="2607"/>
      <c r="AD233" s="2607"/>
      <c r="AE233" s="2607"/>
      <c r="AF233" s="2607"/>
      <c r="AG233" s="2607"/>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1605</v>
      </c>
      <c r="AA234" s="853"/>
      <c r="AB234" s="2458">
        <f>SUM(AB224:AB233)</f>
        <v>0</v>
      </c>
      <c r="AC234" s="2458"/>
      <c r="AD234" s="2458"/>
      <c r="AE234" s="2458"/>
      <c r="AF234" s="2458"/>
      <c r="AG234" s="2458"/>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1595</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1623</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1621</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1615</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610"/>
      <c r="AC240" s="2610"/>
      <c r="AD240" s="2610"/>
      <c r="AE240" s="2610"/>
      <c r="AF240" s="2610"/>
      <c r="AG240" s="2610"/>
      <c r="AH240" s="610"/>
      <c r="AI240" s="610"/>
      <c r="AJ240" s="610"/>
      <c r="AK240" s="610"/>
    </row>
    <row r="241" spans="1:37">
      <c r="A241" s="605"/>
      <c r="B241" s="837" t="s">
        <v>1620</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1622</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1616</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610"/>
      <c r="AC243" s="2610"/>
      <c r="AD243" s="2610"/>
      <c r="AE243" s="2610"/>
      <c r="AF243" s="2610"/>
      <c r="AG243" s="2610"/>
      <c r="AH243" s="610"/>
      <c r="AI243" s="610"/>
      <c r="AJ243" s="610"/>
      <c r="AK243" s="610"/>
    </row>
    <row r="244" spans="1:37">
      <c r="A244" s="605"/>
      <c r="B244" s="838" t="s">
        <v>1617</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642"/>
      <c r="AC244" s="2642"/>
      <c r="AD244" s="2642"/>
      <c r="AE244" s="2642"/>
      <c r="AF244" s="2642"/>
      <c r="AG244" s="2642"/>
      <c r="AH244" s="610"/>
      <c r="AI244" s="610"/>
      <c r="AJ244" s="610"/>
      <c r="AK244" s="610"/>
    </row>
    <row r="245" spans="1:37">
      <c r="A245" s="605"/>
      <c r="B245" s="838" t="s">
        <v>1618</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624">
        <f>IFERROR(AB243/AB244,0)</f>
        <v>0</v>
      </c>
      <c r="AC245" s="2624"/>
      <c r="AD245" s="2624"/>
      <c r="AE245" s="2624"/>
      <c r="AF245" s="2624"/>
      <c r="AG245" s="2624"/>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1619</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607">
        <f>MAX(AB240,AB245)</f>
        <v>0</v>
      </c>
      <c r="AC247" s="2607"/>
      <c r="AD247" s="2607"/>
      <c r="AE247" s="2607"/>
      <c r="AF247" s="2607"/>
      <c r="AG247" s="2607"/>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1608</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58">
        <f>AB234+AB247</f>
        <v>0</v>
      </c>
      <c r="AC250" s="2458"/>
      <c r="AD250" s="2458"/>
      <c r="AE250" s="2458"/>
      <c r="AF250" s="2458"/>
      <c r="AG250" s="2458"/>
      <c r="AH250" s="610"/>
      <c r="AI250" s="610"/>
      <c r="AJ250" s="610"/>
      <c r="AK250" s="610"/>
    </row>
    <row r="251" spans="1:37">
      <c r="A251" s="605"/>
      <c r="B251" s="476" t="s">
        <v>838</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490">
        <v>0.05</v>
      </c>
      <c r="AC251" s="2490"/>
      <c r="AD251" s="2490"/>
      <c r="AE251" s="2490"/>
      <c r="AF251" s="2490"/>
      <c r="AG251" s="2490"/>
      <c r="AH251" s="610"/>
      <c r="AI251" s="610"/>
      <c r="AJ251" s="610"/>
      <c r="AK251" s="610"/>
    </row>
    <row r="252" spans="1:37">
      <c r="A252" s="605"/>
      <c r="B252" s="476" t="s">
        <v>1609</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491">
        <f>AB250-(AB250*AB251)</f>
        <v>0</v>
      </c>
      <c r="AC252" s="2491"/>
      <c r="AD252" s="2491"/>
      <c r="AE252" s="2491"/>
      <c r="AF252" s="2491"/>
      <c r="AG252" s="2491"/>
      <c r="AH252" s="610"/>
      <c r="AI252" s="610"/>
      <c r="AJ252" s="610"/>
      <c r="AK252" s="610"/>
    </row>
    <row r="253" spans="1:37">
      <c r="A253" s="605"/>
      <c r="B253" s="476" t="s">
        <v>1610</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1611</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58">
        <f>AB252/AB258</f>
        <v>0</v>
      </c>
      <c r="AC254" s="2458"/>
      <c r="AD254" s="2458"/>
      <c r="AE254" s="2458"/>
      <c r="AF254" s="2458"/>
      <c r="AG254" s="2458"/>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1612</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450">
        <v>15</v>
      </c>
      <c r="AC256" s="2450"/>
      <c r="AD256" s="2450"/>
      <c r="AE256" s="2450"/>
      <c r="AF256" s="2450"/>
      <c r="AG256" s="2450"/>
      <c r="AH256" s="610"/>
      <c r="AI256" s="610"/>
      <c r="AJ256" s="610"/>
      <c r="AK256" s="610"/>
    </row>
    <row r="257" spans="1:37">
      <c r="A257" s="605"/>
      <c r="B257" s="476" t="s">
        <v>1613</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492">
        <v>0.04</v>
      </c>
      <c r="AC257" s="2492"/>
      <c r="AD257" s="2492"/>
      <c r="AE257" s="2492"/>
      <c r="AF257" s="2492"/>
      <c r="AG257" s="2492"/>
      <c r="AH257" s="610"/>
      <c r="AI257" s="610"/>
      <c r="AJ257" s="610"/>
      <c r="AK257" s="610"/>
    </row>
    <row r="258" spans="1:37">
      <c r="A258" s="605"/>
      <c r="B258" s="476" t="s">
        <v>850</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463">
        <v>1.1499999999999999</v>
      </c>
      <c r="AC258" s="2463"/>
      <c r="AD258" s="2463"/>
      <c r="AE258" s="2463"/>
      <c r="AF258" s="2463"/>
      <c r="AG258" s="2463"/>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1614</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483">
        <f>PV(AB257/12,AB256*12,-AB254/12, ,0)</f>
        <v>0</v>
      </c>
      <c r="AC260" s="2484"/>
      <c r="AD260" s="2484"/>
      <c r="AE260" s="2484"/>
      <c r="AF260" s="2484"/>
      <c r="AG260" s="2485"/>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1590</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1593</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1592</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1591</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487">
        <f>IFERROR(('Sources and Uses Budget'!D105/'Sources and Uses Budget'!B105),0)</f>
        <v>0</v>
      </c>
      <c r="AC266" s="2488"/>
      <c r="AD266" s="2488"/>
      <c r="AE266" s="2488"/>
      <c r="AF266" s="2488"/>
      <c r="AG266" s="2489"/>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1372</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77">
        <f>AD211*(1-AB266)</f>
        <v>7231271</v>
      </c>
      <c r="AH268" s="2477"/>
      <c r="AI268" s="2477"/>
      <c r="AJ268" s="2477"/>
      <c r="AK268" s="2477"/>
    </row>
    <row r="269" spans="1:37">
      <c r="A269" s="622"/>
      <c r="B269" s="625" t="s">
        <v>1373</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77">
        <f>'Sources and Uses Budget'!C105</f>
        <v>90329125</v>
      </c>
      <c r="AH269" s="2477"/>
      <c r="AI269" s="2477"/>
      <c r="AJ269" s="2477"/>
      <c r="AK269" s="2477"/>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478">
        <f>ROUNDDOWN(IF(AND(C292="Yes",AK84=10),((AG268*2)/AG269),AG268/AG269),2)</f>
        <v>0.08</v>
      </c>
      <c r="AH270" s="2478"/>
      <c r="AI270" s="2478"/>
      <c r="AJ270" s="2478"/>
      <c r="AK270" s="2478"/>
    </row>
    <row r="271" spans="1:37">
      <c r="A271" s="622"/>
      <c r="B271" s="978" t="s">
        <v>1740</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1374</v>
      </c>
      <c r="AK273" s="2479">
        <f>IFERROR(IF(AG270=0,0,IF((AG270*100)&gt;8,8,(AG270*100))),0)</f>
        <v>8</v>
      </c>
      <c r="AL273" s="2479"/>
      <c r="AM273" s="2480"/>
    </row>
    <row r="274" spans="1:52" ht="13.5"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1375</v>
      </c>
      <c r="B276" s="538" t="s">
        <v>1376</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1313</v>
      </c>
      <c r="AI276" s="550"/>
      <c r="AJ276" s="550"/>
      <c r="AK276" s="550"/>
      <c r="AL276" s="550"/>
      <c r="AM276" s="550"/>
      <c r="AO276" s="550"/>
    </row>
    <row r="277" spans="1:52" ht="14.25" customHeight="1">
      <c r="A277" s="591"/>
      <c r="AI277" s="551"/>
      <c r="AJ277" s="550"/>
      <c r="AK277" s="550"/>
      <c r="AL277" s="550"/>
      <c r="AM277" s="550"/>
      <c r="AO277" s="550"/>
    </row>
    <row r="278" spans="1:52" ht="13.7" customHeight="1">
      <c r="A278" s="550"/>
      <c r="B278" s="596"/>
      <c r="C278" s="2471" t="s">
        <v>545</v>
      </c>
      <c r="D278" s="2471"/>
      <c r="E278" s="547"/>
      <c r="F278" s="2628" t="s">
        <v>2024</v>
      </c>
      <c r="G278" s="2629"/>
      <c r="H278" s="2629"/>
      <c r="I278" s="2629"/>
      <c r="J278" s="2629"/>
      <c r="K278" s="2629"/>
      <c r="L278" s="2629"/>
      <c r="M278" s="2629"/>
      <c r="N278" s="2629"/>
      <c r="O278" s="2629"/>
      <c r="P278" s="2629"/>
      <c r="Q278" s="2629"/>
      <c r="R278" s="2629"/>
      <c r="S278" s="2629"/>
      <c r="T278" s="2629"/>
      <c r="U278" s="2629"/>
      <c r="V278" s="2629"/>
      <c r="W278" s="2629"/>
      <c r="X278" s="2629"/>
      <c r="Y278" s="2629"/>
      <c r="Z278" s="2629"/>
      <c r="AA278" s="2629"/>
      <c r="AB278" s="2629"/>
      <c r="AC278" s="2629"/>
      <c r="AD278" s="2630"/>
      <c r="AE278" s="550"/>
      <c r="AF278" s="635"/>
      <c r="AG278" s="2472" t="s">
        <v>1362</v>
      </c>
      <c r="AH278" s="2472"/>
      <c r="AI278" s="2472"/>
      <c r="AJ278" s="2472"/>
      <c r="AK278" s="550"/>
      <c r="AL278" s="550"/>
      <c r="AM278" s="550"/>
      <c r="AO278" s="550"/>
    </row>
    <row r="279" spans="1:52" ht="13.7" customHeight="1">
      <c r="A279" s="550"/>
      <c r="B279" s="596"/>
      <c r="C279" s="636"/>
      <c r="D279" s="550"/>
      <c r="E279" s="547"/>
      <c r="F279" s="2631"/>
      <c r="G279" s="2632"/>
      <c r="H279" s="2632"/>
      <c r="I279" s="2632"/>
      <c r="J279" s="2632"/>
      <c r="K279" s="2632"/>
      <c r="L279" s="2632"/>
      <c r="M279" s="2632"/>
      <c r="N279" s="2632"/>
      <c r="O279" s="2632"/>
      <c r="P279" s="2632"/>
      <c r="Q279" s="2632"/>
      <c r="R279" s="2632"/>
      <c r="S279" s="2632"/>
      <c r="T279" s="2632"/>
      <c r="U279" s="2632"/>
      <c r="V279" s="2632"/>
      <c r="W279" s="2632"/>
      <c r="X279" s="2632"/>
      <c r="Y279" s="2632"/>
      <c r="Z279" s="2632"/>
      <c r="AA279" s="2632"/>
      <c r="AB279" s="2632"/>
      <c r="AC279" s="2632"/>
      <c r="AD279" s="2633"/>
      <c r="AE279" s="550"/>
      <c r="AF279" s="635"/>
      <c r="AG279" s="635"/>
      <c r="AH279" s="635"/>
      <c r="AI279" s="635"/>
      <c r="AJ279" s="550"/>
      <c r="AK279" s="550"/>
      <c r="AL279" s="550"/>
      <c r="AM279" s="550"/>
      <c r="AO279" s="550"/>
    </row>
    <row r="280" spans="1:52">
      <c r="A280" s="550"/>
      <c r="B280" s="596"/>
      <c r="C280" s="636"/>
      <c r="D280" s="550"/>
      <c r="E280" s="547"/>
      <c r="F280" s="2631"/>
      <c r="G280" s="2632"/>
      <c r="H280" s="2632"/>
      <c r="I280" s="2632"/>
      <c r="J280" s="2632"/>
      <c r="K280" s="2632"/>
      <c r="L280" s="2632"/>
      <c r="M280" s="2632"/>
      <c r="N280" s="2632"/>
      <c r="O280" s="2632"/>
      <c r="P280" s="2632"/>
      <c r="Q280" s="2632"/>
      <c r="R280" s="2632"/>
      <c r="S280" s="2632"/>
      <c r="T280" s="2632"/>
      <c r="U280" s="2632"/>
      <c r="V280" s="2632"/>
      <c r="W280" s="2632"/>
      <c r="X280" s="2632"/>
      <c r="Y280" s="2632"/>
      <c r="Z280" s="2632"/>
      <c r="AA280" s="2632"/>
      <c r="AB280" s="2632"/>
      <c r="AC280" s="2632"/>
      <c r="AD280" s="2633"/>
      <c r="AE280" s="550"/>
      <c r="AF280" s="635"/>
      <c r="AG280" s="635"/>
      <c r="AH280" s="635"/>
      <c r="AI280" s="635"/>
      <c r="AJ280" s="550"/>
      <c r="AK280" s="550"/>
      <c r="AL280" s="550"/>
      <c r="AM280" s="550"/>
      <c r="AO280" s="550"/>
      <c r="AP280" s="637"/>
    </row>
    <row r="281" spans="1:52">
      <c r="A281" s="550"/>
      <c r="B281" s="596"/>
      <c r="C281" s="636"/>
      <c r="D281" s="550"/>
      <c r="E281" s="547"/>
      <c r="F281" s="2631"/>
      <c r="G281" s="2632"/>
      <c r="H281" s="2632"/>
      <c r="I281" s="2632"/>
      <c r="J281" s="2632"/>
      <c r="K281" s="2632"/>
      <c r="L281" s="2632"/>
      <c r="M281" s="2632"/>
      <c r="N281" s="2632"/>
      <c r="O281" s="2632"/>
      <c r="P281" s="2632"/>
      <c r="Q281" s="2632"/>
      <c r="R281" s="2632"/>
      <c r="S281" s="2632"/>
      <c r="T281" s="2632"/>
      <c r="U281" s="2632"/>
      <c r="V281" s="2632"/>
      <c r="W281" s="2632"/>
      <c r="X281" s="2632"/>
      <c r="Y281" s="2632"/>
      <c r="Z281" s="2632"/>
      <c r="AA281" s="2632"/>
      <c r="AB281" s="2632"/>
      <c r="AC281" s="2632"/>
      <c r="AD281" s="2633"/>
      <c r="AE281" s="550"/>
      <c r="AF281" s="635"/>
      <c r="AG281" s="635"/>
      <c r="AH281" s="635"/>
      <c r="AI281" s="635"/>
      <c r="AJ281" s="550"/>
      <c r="AK281" s="550"/>
      <c r="AL281" s="550"/>
      <c r="AM281" s="550"/>
      <c r="AO281" s="550"/>
      <c r="AP281" s="637"/>
    </row>
    <row r="282" spans="1:52" ht="13.7" customHeight="1">
      <c r="A282" s="550"/>
      <c r="B282" s="596"/>
      <c r="C282" s="2473"/>
      <c r="D282" s="2473"/>
      <c r="E282" s="547"/>
      <c r="F282" s="2634"/>
      <c r="G282" s="2635"/>
      <c r="H282" s="2635"/>
      <c r="I282" s="2635"/>
      <c r="J282" s="2635"/>
      <c r="K282" s="2635"/>
      <c r="L282" s="2635"/>
      <c r="M282" s="2635"/>
      <c r="N282" s="2635"/>
      <c r="O282" s="2635"/>
      <c r="P282" s="2635"/>
      <c r="Q282" s="2635"/>
      <c r="R282" s="2635"/>
      <c r="S282" s="2635"/>
      <c r="T282" s="2635"/>
      <c r="U282" s="2635"/>
      <c r="V282" s="2635"/>
      <c r="W282" s="2635"/>
      <c r="X282" s="2635"/>
      <c r="Y282" s="2635"/>
      <c r="Z282" s="2635"/>
      <c r="AA282" s="2635"/>
      <c r="AB282" s="2635"/>
      <c r="AC282" s="2635"/>
      <c r="AD282" s="2636"/>
      <c r="AE282" s="550"/>
      <c r="AF282" s="635"/>
      <c r="AG282" s="2472"/>
      <c r="AH282" s="2472"/>
      <c r="AI282" s="2472"/>
      <c r="AJ282" s="2472"/>
      <c r="AK282" s="550"/>
      <c r="AL282" s="550"/>
      <c r="AM282" s="550"/>
    </row>
    <row r="283" spans="1:52" ht="13.7"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1378</v>
      </c>
      <c r="AK285" s="2479">
        <f>IF($C$278="yes",10,0)</f>
        <v>10</v>
      </c>
      <c r="AL285" s="2479"/>
      <c r="AM285" s="2480"/>
      <c r="AN285" s="73"/>
    </row>
    <row r="286" spans="1:52" ht="13.5" thickBot="1"/>
    <row r="287" spans="1:52" ht="13.5"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1379</v>
      </c>
      <c r="B288" s="538" t="s">
        <v>1853</v>
      </c>
      <c r="AH288" s="591" t="s">
        <v>1313</v>
      </c>
    </row>
    <row r="289" spans="1:49" ht="15" customHeight="1">
      <c r="B289" s="539"/>
    </row>
    <row r="290" spans="1:49" ht="15" customHeight="1">
      <c r="B290" s="539" t="s">
        <v>1727</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23" t="s">
        <v>1381</v>
      </c>
      <c r="B292" s="1623"/>
      <c r="C292" s="2467" t="s">
        <v>591</v>
      </c>
      <c r="D292" s="2471"/>
      <c r="E292" s="547"/>
      <c r="F292" s="2499" t="s">
        <v>1382</v>
      </c>
      <c r="G292" s="2500"/>
      <c r="H292" s="2500"/>
      <c r="I292" s="2500"/>
      <c r="J292" s="2500"/>
      <c r="K292" s="2500"/>
      <c r="L292" s="2500"/>
      <c r="M292" s="2500"/>
      <c r="N292" s="2500"/>
      <c r="O292" s="2500"/>
      <c r="P292" s="2500"/>
      <c r="Q292" s="2500"/>
      <c r="R292" s="2500"/>
      <c r="S292" s="2500"/>
      <c r="T292" s="2500"/>
      <c r="U292" s="2500"/>
      <c r="V292" s="2500"/>
      <c r="W292" s="2500"/>
      <c r="X292" s="2500"/>
      <c r="Y292" s="2500"/>
      <c r="Z292" s="2500"/>
      <c r="AA292" s="2500"/>
      <c r="AB292" s="2500"/>
      <c r="AC292" s="2500"/>
      <c r="AD292" s="2501"/>
      <c r="AE292" s="642"/>
      <c r="AF292" s="550"/>
      <c r="AG292" s="2502" t="s">
        <v>2017</v>
      </c>
      <c r="AH292" s="2502"/>
      <c r="AI292" s="2502"/>
      <c r="AJ292" s="2502"/>
      <c r="AK292" s="2502"/>
      <c r="AL292" s="550"/>
      <c r="AM292" s="550"/>
      <c r="AN292" s="73"/>
      <c r="AO292" s="14"/>
      <c r="AP292" s="30"/>
      <c r="AS292" s="570"/>
      <c r="AT292" s="570"/>
      <c r="AU292" s="570"/>
      <c r="AV292" s="32"/>
      <c r="AW292" s="32"/>
    </row>
    <row r="293" spans="1:49">
      <c r="A293" s="640"/>
      <c r="B293" s="596"/>
      <c r="F293" s="2493"/>
      <c r="G293" s="2494"/>
      <c r="H293" s="2494"/>
      <c r="I293" s="2494"/>
      <c r="J293" s="2494"/>
      <c r="K293" s="2494"/>
      <c r="L293" s="2494"/>
      <c r="M293" s="2494"/>
      <c r="N293" s="2494"/>
      <c r="O293" s="2494"/>
      <c r="P293" s="2494"/>
      <c r="Q293" s="2494"/>
      <c r="R293" s="2494"/>
      <c r="S293" s="2494"/>
      <c r="T293" s="2494"/>
      <c r="U293" s="2494"/>
      <c r="V293" s="2494"/>
      <c r="W293" s="2494"/>
      <c r="X293" s="2494"/>
      <c r="Y293" s="2494"/>
      <c r="Z293" s="2494"/>
      <c r="AA293" s="2494"/>
      <c r="AB293" s="2494"/>
      <c r="AC293" s="2494"/>
      <c r="AD293" s="2495"/>
      <c r="AE293" s="642"/>
      <c r="AF293" s="551"/>
      <c r="AH293" s="551"/>
      <c r="AI293" s="551"/>
      <c r="AJ293" s="550"/>
      <c r="AK293" s="550"/>
      <c r="AL293" s="550"/>
      <c r="AM293" s="550"/>
      <c r="AN293" s="73"/>
      <c r="AO293" s="14"/>
      <c r="AP293" s="550">
        <f>IF($C$292="yes",10,IF(C292="50% Met",9,0))</f>
        <v>0</v>
      </c>
      <c r="AS293" s="570"/>
      <c r="AT293" s="570"/>
      <c r="AU293" s="570"/>
      <c r="AV293" s="32"/>
      <c r="AW293" s="32"/>
    </row>
    <row r="294" spans="1:49" ht="15" customHeight="1">
      <c r="A294" s="640"/>
      <c r="B294" s="596"/>
      <c r="F294" s="2493"/>
      <c r="G294" s="2494"/>
      <c r="H294" s="2494"/>
      <c r="I294" s="2494"/>
      <c r="J294" s="2494"/>
      <c r="K294" s="2494"/>
      <c r="L294" s="2494"/>
      <c r="M294" s="2494"/>
      <c r="N294" s="2494"/>
      <c r="O294" s="2494"/>
      <c r="P294" s="2494"/>
      <c r="Q294" s="2494"/>
      <c r="R294" s="2494"/>
      <c r="S294" s="2494"/>
      <c r="T294" s="2494"/>
      <c r="U294" s="2494"/>
      <c r="V294" s="2494"/>
      <c r="W294" s="2494"/>
      <c r="X294" s="2494"/>
      <c r="Y294" s="2494"/>
      <c r="Z294" s="2494"/>
      <c r="AA294" s="2494"/>
      <c r="AB294" s="2494"/>
      <c r="AC294" s="2494"/>
      <c r="AD294" s="2495"/>
      <c r="AE294" s="642"/>
      <c r="AF294" s="551"/>
      <c r="AH294" s="551"/>
      <c r="AI294" s="551"/>
      <c r="AJ294" s="550"/>
      <c r="AK294" s="550"/>
      <c r="AL294" s="550"/>
      <c r="AM294" s="550"/>
      <c r="AN294" s="73"/>
      <c r="AO294" s="14"/>
      <c r="AP294" s="550">
        <f>IF($C$302="yes",9,0)</f>
        <v>9</v>
      </c>
      <c r="AS294" s="570"/>
      <c r="AT294" s="570"/>
      <c r="AU294" s="570"/>
      <c r="AV294" s="32"/>
      <c r="AW294" s="32"/>
    </row>
    <row r="295" spans="1:49" ht="12.75" customHeight="1">
      <c r="A295" s="640"/>
      <c r="B295" s="596"/>
      <c r="F295" s="2493" t="s">
        <v>2025</v>
      </c>
      <c r="G295" s="2494"/>
      <c r="H295" s="2494"/>
      <c r="I295" s="2494"/>
      <c r="J295" s="2494"/>
      <c r="K295" s="2494"/>
      <c r="L295" s="2494"/>
      <c r="M295" s="2494"/>
      <c r="N295" s="2494"/>
      <c r="O295" s="2494"/>
      <c r="P295" s="2494"/>
      <c r="Q295" s="2494"/>
      <c r="R295" s="2494"/>
      <c r="S295" s="2494"/>
      <c r="T295" s="2494"/>
      <c r="U295" s="2494"/>
      <c r="V295" s="2494"/>
      <c r="W295" s="2494"/>
      <c r="X295" s="2494"/>
      <c r="Y295" s="2494"/>
      <c r="Z295" s="2494"/>
      <c r="AA295" s="2494"/>
      <c r="AB295" s="2494"/>
      <c r="AC295" s="2494"/>
      <c r="AD295" s="2495"/>
      <c r="AE295" s="642"/>
      <c r="AF295" s="551"/>
      <c r="AH295" s="551"/>
      <c r="AI295" s="551"/>
      <c r="AJ295" s="550"/>
      <c r="AK295" s="550"/>
      <c r="AL295" s="550"/>
      <c r="AM295" s="550"/>
      <c r="AN295" s="73"/>
      <c r="AO295" s="14"/>
      <c r="AP295" s="611">
        <f>MAX(AP293,AP294)</f>
        <v>9</v>
      </c>
      <c r="AQ295" s="574" t="s">
        <v>1315</v>
      </c>
      <c r="AS295" s="570"/>
      <c r="AT295" s="570"/>
      <c r="AU295" s="570"/>
      <c r="AV295" s="32"/>
      <c r="AW295" s="32"/>
    </row>
    <row r="296" spans="1:49">
      <c r="A296" s="640"/>
      <c r="B296" s="596"/>
      <c r="F296" s="2493"/>
      <c r="G296" s="2494"/>
      <c r="H296" s="2494"/>
      <c r="I296" s="2494"/>
      <c r="J296" s="2494"/>
      <c r="K296" s="2494"/>
      <c r="L296" s="2494"/>
      <c r="M296" s="2494"/>
      <c r="N296" s="2494"/>
      <c r="O296" s="2494"/>
      <c r="P296" s="2494"/>
      <c r="Q296" s="2494"/>
      <c r="R296" s="2494"/>
      <c r="S296" s="2494"/>
      <c r="T296" s="2494"/>
      <c r="U296" s="2494"/>
      <c r="V296" s="2494"/>
      <c r="W296" s="2494"/>
      <c r="X296" s="2494"/>
      <c r="Y296" s="2494"/>
      <c r="Z296" s="2494"/>
      <c r="AA296" s="2494"/>
      <c r="AB296" s="2494"/>
      <c r="AC296" s="2494"/>
      <c r="AD296" s="2495"/>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93" t="s">
        <v>1383</v>
      </c>
      <c r="G297" s="2494"/>
      <c r="H297" s="2494"/>
      <c r="I297" s="2494"/>
      <c r="J297" s="2494"/>
      <c r="K297" s="2494"/>
      <c r="L297" s="2494"/>
      <c r="M297" s="2494"/>
      <c r="N297" s="2494"/>
      <c r="O297" s="2494"/>
      <c r="P297" s="2494"/>
      <c r="Q297" s="2494"/>
      <c r="R297" s="2494"/>
      <c r="S297" s="2494"/>
      <c r="T297" s="2494"/>
      <c r="U297" s="2494"/>
      <c r="V297" s="2494"/>
      <c r="W297" s="2494"/>
      <c r="X297" s="2494"/>
      <c r="Y297" s="2494"/>
      <c r="Z297" s="2494"/>
      <c r="AA297" s="2494"/>
      <c r="AB297" s="2494"/>
      <c r="AC297" s="2494"/>
      <c r="AD297" s="2495"/>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93"/>
      <c r="G298" s="2494"/>
      <c r="H298" s="2494"/>
      <c r="I298" s="2494"/>
      <c r="J298" s="2494"/>
      <c r="K298" s="2494"/>
      <c r="L298" s="2494"/>
      <c r="M298" s="2494"/>
      <c r="N298" s="2494"/>
      <c r="O298" s="2494"/>
      <c r="P298" s="2494"/>
      <c r="Q298" s="2494"/>
      <c r="R298" s="2494"/>
      <c r="S298" s="2494"/>
      <c r="T298" s="2494"/>
      <c r="U298" s="2494"/>
      <c r="V298" s="2494"/>
      <c r="W298" s="2494"/>
      <c r="X298" s="2494"/>
      <c r="Y298" s="2494"/>
      <c r="Z298" s="2494"/>
      <c r="AA298" s="2494"/>
      <c r="AB298" s="2494"/>
      <c r="AC298" s="2494"/>
      <c r="AD298" s="2495"/>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93" t="s">
        <v>1384</v>
      </c>
      <c r="G299" s="2494"/>
      <c r="H299" s="2494"/>
      <c r="I299" s="2494"/>
      <c r="J299" s="2494"/>
      <c r="K299" s="2494"/>
      <c r="L299" s="2494"/>
      <c r="M299" s="2494"/>
      <c r="N299" s="2494"/>
      <c r="O299" s="2494"/>
      <c r="P299" s="2494"/>
      <c r="Q299" s="2494"/>
      <c r="R299" s="2494"/>
      <c r="S299" s="2494"/>
      <c r="T299" s="2494"/>
      <c r="U299" s="2494"/>
      <c r="V299" s="2494"/>
      <c r="W299" s="2494"/>
      <c r="X299" s="2494"/>
      <c r="Y299" s="2494"/>
      <c r="Z299" s="2494"/>
      <c r="AA299" s="2494"/>
      <c r="AB299" s="2494"/>
      <c r="AC299" s="2494"/>
      <c r="AD299" s="2495"/>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496"/>
      <c r="G300" s="2497"/>
      <c r="H300" s="2497"/>
      <c r="I300" s="2497"/>
      <c r="J300" s="2497"/>
      <c r="K300" s="2497"/>
      <c r="L300" s="2497"/>
      <c r="M300" s="2497"/>
      <c r="N300" s="2497"/>
      <c r="O300" s="2497"/>
      <c r="P300" s="2497"/>
      <c r="Q300" s="2497"/>
      <c r="R300" s="2497"/>
      <c r="S300" s="2497"/>
      <c r="T300" s="2497"/>
      <c r="U300" s="2497"/>
      <c r="V300" s="2497"/>
      <c r="W300" s="2497"/>
      <c r="X300" s="2497"/>
      <c r="Y300" s="2497"/>
      <c r="Z300" s="2497"/>
      <c r="AA300" s="2497"/>
      <c r="AB300" s="2497"/>
      <c r="AC300" s="2497"/>
      <c r="AD300" s="2498"/>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23" t="s">
        <v>1385</v>
      </c>
      <c r="B302" s="1623"/>
      <c r="C302" s="2471" t="s">
        <v>545</v>
      </c>
      <c r="D302" s="2471"/>
      <c r="E302" s="547"/>
      <c r="F302" s="644" t="s">
        <v>2018</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1387</v>
      </c>
      <c r="AH302" s="551"/>
      <c r="AI302" s="551"/>
      <c r="AJ302" s="550"/>
      <c r="AK302" s="550"/>
      <c r="AL302" s="550"/>
      <c r="AM302" s="550"/>
      <c r="AN302" s="647"/>
      <c r="AO302" s="14"/>
    </row>
    <row r="303" spans="1:49">
      <c r="A303" s="550"/>
      <c r="B303" s="551"/>
      <c r="C303" s="550"/>
      <c r="D303" s="551"/>
      <c r="E303" s="550"/>
      <c r="F303" s="2401" t="s">
        <v>2019</v>
      </c>
      <c r="G303" s="2402"/>
      <c r="H303" s="2402"/>
      <c r="I303" s="2402"/>
      <c r="J303" s="2402"/>
      <c r="K303" s="2402"/>
      <c r="L303" s="2402"/>
      <c r="M303" s="2402"/>
      <c r="N303" s="2402"/>
      <c r="O303" s="2402"/>
      <c r="P303" s="2402"/>
      <c r="Q303" s="2402"/>
      <c r="R303" s="2402"/>
      <c r="S303" s="2402"/>
      <c r="T303" s="2402"/>
      <c r="U303" s="2402"/>
      <c r="V303" s="2402"/>
      <c r="W303" s="2402"/>
      <c r="X303" s="2402"/>
      <c r="Y303" s="2402"/>
      <c r="Z303" s="2402"/>
      <c r="AA303" s="2402"/>
      <c r="AB303" s="2402"/>
      <c r="AC303" s="2402"/>
      <c r="AD303" s="2403"/>
      <c r="AE303" s="551"/>
      <c r="AF303" s="551"/>
      <c r="AG303" s="551"/>
      <c r="AH303" s="551"/>
      <c r="AI303" s="551"/>
      <c r="AJ303" s="550"/>
      <c r="AK303" s="550"/>
      <c r="AL303" s="550"/>
      <c r="AM303" s="550"/>
      <c r="AR303" s="648"/>
    </row>
    <row r="304" spans="1:49" ht="15" customHeight="1">
      <c r="A304" s="550"/>
      <c r="B304" s="551"/>
      <c r="C304" s="550"/>
      <c r="D304" s="551"/>
      <c r="E304" s="550"/>
      <c r="F304" s="2401"/>
      <c r="G304" s="2402"/>
      <c r="H304" s="2402"/>
      <c r="I304" s="2402"/>
      <c r="J304" s="2402"/>
      <c r="K304" s="2402"/>
      <c r="L304" s="2402"/>
      <c r="M304" s="2402"/>
      <c r="N304" s="2402"/>
      <c r="O304" s="2402"/>
      <c r="P304" s="2402"/>
      <c r="Q304" s="2402"/>
      <c r="R304" s="2402"/>
      <c r="S304" s="2402"/>
      <c r="T304" s="2402"/>
      <c r="U304" s="2402"/>
      <c r="V304" s="2402"/>
      <c r="W304" s="2402"/>
      <c r="X304" s="2402"/>
      <c r="Y304" s="2402"/>
      <c r="Z304" s="2402"/>
      <c r="AA304" s="2402"/>
      <c r="AB304" s="2402"/>
      <c r="AC304" s="2402"/>
      <c r="AD304" s="2403"/>
      <c r="AE304" s="551"/>
      <c r="AF304" s="551"/>
      <c r="AG304" s="551"/>
      <c r="AH304" s="551"/>
      <c r="AI304" s="551"/>
      <c r="AJ304" s="550"/>
      <c r="AK304" s="550"/>
      <c r="AL304" s="550"/>
      <c r="AM304" s="550"/>
      <c r="AR304" s="648"/>
    </row>
    <row r="305" spans="1:44">
      <c r="A305" s="550"/>
      <c r="B305" s="551"/>
      <c r="C305" s="550"/>
      <c r="D305" s="551"/>
      <c r="E305" s="550"/>
      <c r="F305" s="2401"/>
      <c r="G305" s="2402"/>
      <c r="H305" s="2402"/>
      <c r="I305" s="2402"/>
      <c r="J305" s="2402"/>
      <c r="K305" s="2402"/>
      <c r="L305" s="2402"/>
      <c r="M305" s="2402"/>
      <c r="N305" s="2402"/>
      <c r="O305" s="2402"/>
      <c r="P305" s="2402"/>
      <c r="Q305" s="2402"/>
      <c r="R305" s="2402"/>
      <c r="S305" s="2402"/>
      <c r="T305" s="2402"/>
      <c r="U305" s="2402"/>
      <c r="V305" s="2402"/>
      <c r="W305" s="2402"/>
      <c r="X305" s="2402"/>
      <c r="Y305" s="2402"/>
      <c r="Z305" s="2402"/>
      <c r="AA305" s="2402"/>
      <c r="AB305" s="2402"/>
      <c r="AC305" s="2402"/>
      <c r="AD305" s="2403"/>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398"/>
      <c r="G306" s="2399"/>
      <c r="H306" s="2399"/>
      <c r="I306" s="2399"/>
      <c r="J306" s="2399"/>
      <c r="K306" s="2399"/>
      <c r="L306" s="2399"/>
      <c r="M306" s="2399"/>
      <c r="N306" s="2399"/>
      <c r="O306" s="2399"/>
      <c r="P306" s="2399"/>
      <c r="Q306" s="2399"/>
      <c r="R306" s="2399"/>
      <c r="S306" s="2399"/>
      <c r="T306" s="2399"/>
      <c r="U306" s="2399"/>
      <c r="V306" s="2399"/>
      <c r="W306" s="2399"/>
      <c r="X306" s="2399"/>
      <c r="Y306" s="2399"/>
      <c r="Z306" s="2399"/>
      <c r="AA306" s="2399"/>
      <c r="AB306" s="2399"/>
      <c r="AC306" s="2399"/>
      <c r="AD306" s="2400"/>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23" t="s">
        <v>1388</v>
      </c>
      <c r="B310" s="1623"/>
      <c r="C310" s="2471" t="s">
        <v>591</v>
      </c>
      <c r="D310" s="2471"/>
      <c r="E310" s="547"/>
      <c r="F310" s="644" t="s">
        <v>1386</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1387</v>
      </c>
      <c r="AH310" s="551"/>
      <c r="AI310" s="551"/>
      <c r="AJ310" s="550"/>
      <c r="AK310" s="550"/>
      <c r="AL310" s="550"/>
      <c r="AM310" s="550"/>
      <c r="AN310" s="73"/>
      <c r="AO310" s="14"/>
    </row>
    <row r="311" spans="1:44" hidden="1">
      <c r="A311" s="89"/>
      <c r="B311" s="89"/>
      <c r="C311" s="730"/>
      <c r="D311" s="730"/>
      <c r="E311" s="547"/>
      <c r="F311" s="2493" t="s">
        <v>2026</v>
      </c>
      <c r="G311" s="2494"/>
      <c r="H311" s="2494"/>
      <c r="I311" s="2494"/>
      <c r="J311" s="2494"/>
      <c r="K311" s="2494"/>
      <c r="L311" s="2494"/>
      <c r="M311" s="2494"/>
      <c r="N311" s="2494"/>
      <c r="O311" s="2494"/>
      <c r="P311" s="2494"/>
      <c r="Q311" s="2494"/>
      <c r="R311" s="2494"/>
      <c r="S311" s="2494"/>
      <c r="T311" s="2494"/>
      <c r="U311" s="2494"/>
      <c r="V311" s="2494"/>
      <c r="W311" s="2494"/>
      <c r="X311" s="2494"/>
      <c r="Y311" s="2494"/>
      <c r="Z311" s="2494"/>
      <c r="AA311" s="2494"/>
      <c r="AB311" s="2494"/>
      <c r="AC311" s="2494"/>
      <c r="AD311" s="2495"/>
      <c r="AE311" s="551"/>
      <c r="AF311" s="551"/>
      <c r="AG311" s="539"/>
      <c r="AH311" s="551"/>
      <c r="AI311" s="551"/>
      <c r="AJ311" s="550"/>
      <c r="AK311" s="550"/>
      <c r="AL311" s="550"/>
      <c r="AM311" s="550"/>
      <c r="AN311" s="73"/>
      <c r="AO311" s="14"/>
      <c r="AP311" s="557" t="s">
        <v>1183</v>
      </c>
    </row>
    <row r="312" spans="1:44" hidden="1">
      <c r="F312" s="2493"/>
      <c r="G312" s="2494"/>
      <c r="H312" s="2494"/>
      <c r="I312" s="2494"/>
      <c r="J312" s="2494"/>
      <c r="K312" s="2494"/>
      <c r="L312" s="2494"/>
      <c r="M312" s="2494"/>
      <c r="N312" s="2494"/>
      <c r="O312" s="2494"/>
      <c r="P312" s="2494"/>
      <c r="Q312" s="2494"/>
      <c r="R312" s="2494"/>
      <c r="S312" s="2494"/>
      <c r="T312" s="2494"/>
      <c r="U312" s="2494"/>
      <c r="V312" s="2494"/>
      <c r="W312" s="2494"/>
      <c r="X312" s="2494"/>
      <c r="Y312" s="2494"/>
      <c r="Z312" s="2494"/>
      <c r="AA312" s="2494"/>
      <c r="AB312" s="2494"/>
      <c r="AC312" s="2494"/>
      <c r="AD312" s="2495"/>
      <c r="AE312" s="551"/>
      <c r="AF312" s="551"/>
      <c r="AH312" s="551"/>
      <c r="AI312" s="551"/>
      <c r="AJ312" s="550"/>
      <c r="AK312" s="550"/>
      <c r="AL312" s="550"/>
      <c r="AM312" s="550"/>
      <c r="AN312" s="73"/>
      <c r="AO312" s="14"/>
      <c r="AP312" s="557" t="s">
        <v>1729</v>
      </c>
    </row>
    <row r="313" spans="1:44" hidden="1">
      <c r="A313" s="550"/>
      <c r="B313" s="551"/>
      <c r="C313" s="730"/>
      <c r="D313" s="730"/>
      <c r="E313" s="547"/>
      <c r="F313" s="652" t="s">
        <v>1389</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1731</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1855</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03" t="s">
        <v>1183</v>
      </c>
      <c r="G316" s="2504"/>
      <c r="H316" s="2504"/>
      <c r="I316" s="2504"/>
      <c r="J316" s="2504"/>
      <c r="K316" s="2504"/>
      <c r="L316" s="2504"/>
      <c r="M316" s="2504"/>
      <c r="N316" s="2504"/>
      <c r="O316" s="2504"/>
      <c r="P316" s="2504"/>
      <c r="Q316" s="2504"/>
      <c r="R316" s="2504"/>
      <c r="S316" s="2504"/>
      <c r="T316" s="2504"/>
      <c r="U316" s="2504"/>
      <c r="V316" s="2504"/>
      <c r="W316" s="2504"/>
      <c r="X316" s="2504"/>
      <c r="Y316" s="2504"/>
      <c r="Z316" s="2504"/>
      <c r="AA316" s="2504"/>
      <c r="AB316" s="2504"/>
      <c r="AC316" s="2504"/>
      <c r="AD316" s="2505"/>
      <c r="AE316" s="642"/>
      <c r="AF316" s="642"/>
      <c r="AG316" s="642"/>
      <c r="AH316" s="642"/>
      <c r="AI316" s="642"/>
      <c r="AJ316" s="642"/>
      <c r="AK316" s="642"/>
      <c r="AL316" s="550"/>
      <c r="AM316" s="550"/>
      <c r="AN316" s="73"/>
      <c r="AO316" s="14"/>
      <c r="AP316" s="30"/>
    </row>
    <row r="317" spans="1:44" hidden="1">
      <c r="A317" s="550"/>
      <c r="B317" s="551"/>
      <c r="C317" s="730"/>
      <c r="D317" s="730"/>
      <c r="E317" s="547"/>
      <c r="F317" s="2503"/>
      <c r="G317" s="2504"/>
      <c r="H317" s="2504"/>
      <c r="I317" s="2504"/>
      <c r="J317" s="2504"/>
      <c r="K317" s="2504"/>
      <c r="L317" s="2504"/>
      <c r="M317" s="2504"/>
      <c r="N317" s="2504"/>
      <c r="O317" s="2504"/>
      <c r="P317" s="2504"/>
      <c r="Q317" s="2504"/>
      <c r="R317" s="2504"/>
      <c r="S317" s="2504"/>
      <c r="T317" s="2504"/>
      <c r="U317" s="2504"/>
      <c r="V317" s="2504"/>
      <c r="W317" s="2504"/>
      <c r="X317" s="2504"/>
      <c r="Y317" s="2504"/>
      <c r="Z317" s="2504"/>
      <c r="AA317" s="2504"/>
      <c r="AB317" s="2504"/>
      <c r="AC317" s="2504"/>
      <c r="AD317" s="2505"/>
      <c r="AE317" s="551"/>
      <c r="AF317" s="551"/>
      <c r="AG317" s="539"/>
      <c r="AH317" s="551"/>
      <c r="AI317" s="551"/>
      <c r="AJ317" s="550"/>
      <c r="AK317" s="550"/>
      <c r="AL317" s="550"/>
      <c r="AM317" s="550"/>
      <c r="AN317" s="73"/>
      <c r="AO317" s="14"/>
      <c r="AP317" s="30"/>
    </row>
    <row r="318" spans="1:44" hidden="1">
      <c r="A318" s="550"/>
      <c r="B318" s="551"/>
      <c r="C318" s="730"/>
      <c r="D318" s="730"/>
      <c r="E318" s="547"/>
      <c r="F318" s="2503"/>
      <c r="G318" s="2504"/>
      <c r="H318" s="2504"/>
      <c r="I318" s="2504"/>
      <c r="J318" s="2504"/>
      <c r="K318" s="2504"/>
      <c r="L318" s="2504"/>
      <c r="M318" s="2504"/>
      <c r="N318" s="2504"/>
      <c r="O318" s="2504"/>
      <c r="P318" s="2504"/>
      <c r="Q318" s="2504"/>
      <c r="R318" s="2504"/>
      <c r="S318" s="2504"/>
      <c r="T318" s="2504"/>
      <c r="U318" s="2504"/>
      <c r="V318" s="2504"/>
      <c r="W318" s="2504"/>
      <c r="X318" s="2504"/>
      <c r="Y318" s="2504"/>
      <c r="Z318" s="2504"/>
      <c r="AA318" s="2504"/>
      <c r="AB318" s="2504"/>
      <c r="AC318" s="2504"/>
      <c r="AD318" s="2505"/>
      <c r="AE318" s="551"/>
      <c r="AF318" s="551"/>
      <c r="AG318" s="539"/>
      <c r="AH318" s="551"/>
      <c r="AI318" s="551"/>
      <c r="AJ318" s="550"/>
      <c r="AK318" s="550"/>
      <c r="AL318" s="550"/>
      <c r="AM318" s="550"/>
      <c r="AN318" s="73"/>
      <c r="AO318" s="14"/>
      <c r="AP318" s="30"/>
    </row>
    <row r="319" spans="1:44" hidden="1">
      <c r="A319" s="550"/>
      <c r="B319" s="551"/>
      <c r="C319" s="730"/>
      <c r="D319" s="730"/>
      <c r="E319" s="547"/>
      <c r="F319" s="2503"/>
      <c r="G319" s="2504"/>
      <c r="H319" s="2504"/>
      <c r="I319" s="2504"/>
      <c r="J319" s="2504"/>
      <c r="K319" s="2504"/>
      <c r="L319" s="2504"/>
      <c r="M319" s="2504"/>
      <c r="N319" s="2504"/>
      <c r="O319" s="2504"/>
      <c r="P319" s="2504"/>
      <c r="Q319" s="2504"/>
      <c r="R319" s="2504"/>
      <c r="S319" s="2504"/>
      <c r="T319" s="2504"/>
      <c r="U319" s="2504"/>
      <c r="V319" s="2504"/>
      <c r="W319" s="2504"/>
      <c r="X319" s="2504"/>
      <c r="Y319" s="2504"/>
      <c r="Z319" s="2504"/>
      <c r="AA319" s="2504"/>
      <c r="AB319" s="2504"/>
      <c r="AC319" s="2504"/>
      <c r="AD319" s="2505"/>
      <c r="AE319" s="551"/>
      <c r="AF319" s="551"/>
      <c r="AG319" s="539"/>
      <c r="AH319" s="551"/>
      <c r="AI319" s="551"/>
      <c r="AJ319" s="550"/>
      <c r="AK319" s="550"/>
      <c r="AL319" s="550"/>
      <c r="AM319" s="550"/>
      <c r="AN319" s="73"/>
      <c r="AO319" s="14"/>
      <c r="AP319" s="30"/>
    </row>
    <row r="320" spans="1:44" hidden="1">
      <c r="A320" s="550"/>
      <c r="B320" s="551"/>
      <c r="C320" s="730"/>
      <c r="D320" s="730"/>
      <c r="E320" s="547"/>
      <c r="F320" s="2506"/>
      <c r="G320" s="2507"/>
      <c r="H320" s="2507"/>
      <c r="I320" s="2507"/>
      <c r="J320" s="2507"/>
      <c r="K320" s="2507"/>
      <c r="L320" s="2507"/>
      <c r="M320" s="2507"/>
      <c r="N320" s="2507"/>
      <c r="O320" s="2507"/>
      <c r="P320" s="2507"/>
      <c r="Q320" s="2507"/>
      <c r="R320" s="2507"/>
      <c r="S320" s="2507"/>
      <c r="T320" s="2507"/>
      <c r="U320" s="2507"/>
      <c r="V320" s="2507"/>
      <c r="W320" s="2507"/>
      <c r="X320" s="2507"/>
      <c r="Y320" s="2507"/>
      <c r="Z320" s="2507"/>
      <c r="AA320" s="2507"/>
      <c r="AB320" s="2507"/>
      <c r="AC320" s="2507"/>
      <c r="AD320" s="2508"/>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1730</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1183</v>
      </c>
    </row>
    <row r="324" spans="1:42" ht="12.75" hidden="1" customHeight="1">
      <c r="A324" s="550"/>
      <c r="B324" s="551"/>
      <c r="C324" s="730"/>
      <c r="D324" s="730"/>
      <c r="E324" s="547"/>
      <c r="F324" s="656"/>
      <c r="G324" s="575" t="s">
        <v>687</v>
      </c>
      <c r="H324" s="575"/>
      <c r="I324" s="2509" t="s">
        <v>1183</v>
      </c>
      <c r="J324" s="2509"/>
      <c r="K324" s="2509"/>
      <c r="L324" s="2509"/>
      <c r="M324" s="2509"/>
      <c r="N324" s="2509"/>
      <c r="O324" s="2509"/>
      <c r="P324" s="2509"/>
      <c r="Q324" s="2509"/>
      <c r="R324" s="2509"/>
      <c r="S324" s="2509"/>
      <c r="T324" s="2509"/>
      <c r="U324" s="2509"/>
      <c r="V324" s="2509"/>
      <c r="W324" s="2509"/>
      <c r="X324" s="2509"/>
      <c r="Y324" s="2509"/>
      <c r="Z324" s="2509"/>
      <c r="AA324" s="2509"/>
      <c r="AB324" s="2509"/>
      <c r="AC324" s="2509"/>
      <c r="AD324" s="2510"/>
      <c r="AE324" s="551"/>
      <c r="AF324" s="551"/>
      <c r="AG324" s="539"/>
      <c r="AH324" s="551"/>
      <c r="AI324" s="551"/>
      <c r="AJ324" s="550"/>
      <c r="AK324" s="550"/>
      <c r="AL324" s="550"/>
      <c r="AM324" s="550"/>
      <c r="AN324" s="73"/>
      <c r="AO324" s="14"/>
      <c r="AP324" s="557" t="s">
        <v>1636</v>
      </c>
    </row>
    <row r="325" spans="1:42" hidden="1">
      <c r="A325" s="550"/>
      <c r="B325" s="551"/>
      <c r="C325" s="730"/>
      <c r="D325" s="730"/>
      <c r="E325" s="547"/>
      <c r="F325" s="656"/>
      <c r="G325" s="575"/>
      <c r="H325" s="575"/>
      <c r="I325" s="2509"/>
      <c r="J325" s="2509"/>
      <c r="K325" s="2509"/>
      <c r="L325" s="2509"/>
      <c r="M325" s="2509"/>
      <c r="N325" s="2509"/>
      <c r="O325" s="2509"/>
      <c r="P325" s="2509"/>
      <c r="Q325" s="2509"/>
      <c r="R325" s="2509"/>
      <c r="S325" s="2509"/>
      <c r="T325" s="2509"/>
      <c r="U325" s="2509"/>
      <c r="V325" s="2509"/>
      <c r="W325" s="2509"/>
      <c r="X325" s="2509"/>
      <c r="Y325" s="2509"/>
      <c r="Z325" s="2509"/>
      <c r="AA325" s="2509"/>
      <c r="AB325" s="2509"/>
      <c r="AC325" s="2509"/>
      <c r="AD325" s="2510"/>
      <c r="AE325" s="551"/>
      <c r="AF325" s="551"/>
      <c r="AG325" s="539"/>
      <c r="AH325" s="551"/>
      <c r="AI325" s="551"/>
      <c r="AJ325" s="550"/>
      <c r="AK325" s="550"/>
      <c r="AL325" s="550"/>
      <c r="AM325" s="550"/>
      <c r="AN325" s="73"/>
      <c r="AO325" s="14"/>
      <c r="AP325" s="557" t="s">
        <v>1732</v>
      </c>
    </row>
    <row r="326" spans="1:42" hidden="1">
      <c r="A326" s="550"/>
      <c r="B326" s="551"/>
      <c r="C326" s="651"/>
      <c r="D326" s="651"/>
      <c r="E326" s="547"/>
      <c r="F326" s="656"/>
      <c r="G326" s="575"/>
      <c r="H326" s="575"/>
      <c r="I326" s="2509"/>
      <c r="J326" s="2509"/>
      <c r="K326" s="2509"/>
      <c r="L326" s="2509"/>
      <c r="M326" s="2509"/>
      <c r="N326" s="2509"/>
      <c r="O326" s="2509"/>
      <c r="P326" s="2509"/>
      <c r="Q326" s="2509"/>
      <c r="R326" s="2509"/>
      <c r="S326" s="2509"/>
      <c r="T326" s="2509"/>
      <c r="U326" s="2509"/>
      <c r="V326" s="2509"/>
      <c r="W326" s="2509"/>
      <c r="X326" s="2509"/>
      <c r="Y326" s="2509"/>
      <c r="Z326" s="2509"/>
      <c r="AA326" s="2509"/>
      <c r="AB326" s="2509"/>
      <c r="AC326" s="2509"/>
      <c r="AD326" s="2510"/>
      <c r="AE326" s="551"/>
      <c r="AF326" s="551"/>
      <c r="AG326" s="539"/>
      <c r="AH326" s="551"/>
      <c r="AI326" s="551"/>
      <c r="AJ326" s="550"/>
      <c r="AK326" s="550"/>
      <c r="AL326" s="550"/>
      <c r="AM326" s="550"/>
      <c r="AN326" s="73"/>
      <c r="AO326" s="14"/>
      <c r="AP326" s="557" t="s">
        <v>1734</v>
      </c>
    </row>
    <row r="327" spans="1:42" hidden="1">
      <c r="A327" s="550"/>
      <c r="B327" s="551"/>
      <c r="C327" s="651"/>
      <c r="D327" s="651"/>
      <c r="E327" s="547"/>
      <c r="F327" s="654"/>
      <c r="G327" s="551"/>
      <c r="H327" s="551"/>
      <c r="I327" s="2511"/>
      <c r="J327" s="2511"/>
      <c r="K327" s="2511"/>
      <c r="L327" s="2511"/>
      <c r="M327" s="2511"/>
      <c r="N327" s="2511"/>
      <c r="O327" s="2511"/>
      <c r="P327" s="2511"/>
      <c r="Q327" s="2511"/>
      <c r="R327" s="2511"/>
      <c r="S327" s="2511"/>
      <c r="T327" s="2511"/>
      <c r="U327" s="2511"/>
      <c r="V327" s="2511"/>
      <c r="W327" s="2511"/>
      <c r="X327" s="2511"/>
      <c r="Y327" s="2511"/>
      <c r="Z327" s="2511"/>
      <c r="AA327" s="2511"/>
      <c r="AB327" s="2511"/>
      <c r="AC327" s="2511"/>
      <c r="AD327" s="2512"/>
      <c r="AE327" s="551"/>
      <c r="AF327" s="551"/>
      <c r="AG327" s="539"/>
      <c r="AH327" s="551"/>
      <c r="AI327" s="551"/>
      <c r="AJ327" s="550"/>
      <c r="AK327" s="550"/>
      <c r="AL327" s="550"/>
      <c r="AM327" s="550"/>
      <c r="AN327" s="73"/>
      <c r="AO327" s="14"/>
      <c r="AP327" s="557" t="s">
        <v>1733</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509</v>
      </c>
      <c r="H329" s="551"/>
      <c r="I329" s="2509" t="s">
        <v>1183</v>
      </c>
      <c r="J329" s="2509"/>
      <c r="K329" s="2509"/>
      <c r="L329" s="2509"/>
      <c r="M329" s="2509"/>
      <c r="N329" s="2509"/>
      <c r="O329" s="2509"/>
      <c r="P329" s="2509"/>
      <c r="Q329" s="2509"/>
      <c r="R329" s="2509"/>
      <c r="S329" s="2509"/>
      <c r="T329" s="2509"/>
      <c r="U329" s="2509"/>
      <c r="V329" s="2509"/>
      <c r="W329" s="2509"/>
      <c r="X329" s="2509"/>
      <c r="Y329" s="2509"/>
      <c r="Z329" s="2509"/>
      <c r="AA329" s="2509"/>
      <c r="AB329" s="2509"/>
      <c r="AC329" s="2509"/>
      <c r="AD329" s="2510"/>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509"/>
      <c r="J330" s="2509"/>
      <c r="K330" s="2509"/>
      <c r="L330" s="2509"/>
      <c r="M330" s="2509"/>
      <c r="N330" s="2509"/>
      <c r="O330" s="2509"/>
      <c r="P330" s="2509"/>
      <c r="Q330" s="2509"/>
      <c r="R330" s="2509"/>
      <c r="S330" s="2509"/>
      <c r="T330" s="2509"/>
      <c r="U330" s="2509"/>
      <c r="V330" s="2509"/>
      <c r="W330" s="2509"/>
      <c r="X330" s="2509"/>
      <c r="Y330" s="2509"/>
      <c r="Z330" s="2509"/>
      <c r="AA330" s="2509"/>
      <c r="AB330" s="2509"/>
      <c r="AC330" s="2509"/>
      <c r="AD330" s="2510"/>
      <c r="AE330" s="551"/>
      <c r="AF330" s="551"/>
      <c r="AG330" s="539"/>
      <c r="AH330" s="551"/>
      <c r="AI330" s="551"/>
      <c r="AJ330" s="550"/>
      <c r="AK330" s="550"/>
      <c r="AL330" s="550"/>
      <c r="AM330" s="550"/>
      <c r="AN330" s="73"/>
      <c r="AO330" s="14"/>
      <c r="AP330" s="557" t="s">
        <v>1183</v>
      </c>
    </row>
    <row r="331" spans="1:42" hidden="1">
      <c r="A331" s="550"/>
      <c r="B331" s="551"/>
      <c r="C331" s="651"/>
      <c r="D331" s="651"/>
      <c r="E331" s="547"/>
      <c r="F331" s="657"/>
      <c r="G331" s="658"/>
      <c r="H331" s="658"/>
      <c r="I331" s="2511"/>
      <c r="J331" s="2511"/>
      <c r="K331" s="2511"/>
      <c r="L331" s="2511"/>
      <c r="M331" s="2511"/>
      <c r="N331" s="2511"/>
      <c r="O331" s="2511"/>
      <c r="P331" s="2511"/>
      <c r="Q331" s="2511"/>
      <c r="R331" s="2511"/>
      <c r="S331" s="2511"/>
      <c r="T331" s="2511"/>
      <c r="U331" s="2511"/>
      <c r="V331" s="2511"/>
      <c r="W331" s="2511"/>
      <c r="X331" s="2511"/>
      <c r="Y331" s="2511"/>
      <c r="Z331" s="2511"/>
      <c r="AA331" s="2511"/>
      <c r="AB331" s="2511"/>
      <c r="AC331" s="2511"/>
      <c r="AD331" s="2512"/>
      <c r="AE331" s="551"/>
      <c r="AF331" s="551"/>
      <c r="AG331" s="539"/>
      <c r="AH331" s="551"/>
      <c r="AI331" s="551"/>
      <c r="AJ331" s="550"/>
      <c r="AK331" s="550"/>
      <c r="AL331" s="550"/>
      <c r="AM331" s="550"/>
      <c r="AN331" s="73"/>
      <c r="AO331" s="14"/>
      <c r="AP331" s="557" t="s">
        <v>1390</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1637</v>
      </c>
    </row>
    <row r="333" spans="1:42" ht="12.75" hidden="1" customHeight="1">
      <c r="A333" s="1623" t="s">
        <v>1391</v>
      </c>
      <c r="B333" s="1623"/>
      <c r="C333" s="2471" t="s">
        <v>591</v>
      </c>
      <c r="D333" s="2471"/>
      <c r="E333" s="547"/>
      <c r="F333" s="2395" t="s">
        <v>2027</v>
      </c>
      <c r="G333" s="2396"/>
      <c r="H333" s="2396"/>
      <c r="I333" s="2396"/>
      <c r="J333" s="2396"/>
      <c r="K333" s="2396"/>
      <c r="L333" s="2396"/>
      <c r="M333" s="2396"/>
      <c r="N333" s="2396"/>
      <c r="O333" s="2396"/>
      <c r="P333" s="2396"/>
      <c r="Q333" s="2396"/>
      <c r="R333" s="2396"/>
      <c r="S333" s="2396"/>
      <c r="T333" s="2396"/>
      <c r="U333" s="2396"/>
      <c r="V333" s="2396"/>
      <c r="W333" s="2396"/>
      <c r="X333" s="2396"/>
      <c r="Y333" s="2396"/>
      <c r="Z333" s="2396"/>
      <c r="AA333" s="2396"/>
      <c r="AB333" s="2396"/>
      <c r="AC333" s="2396"/>
      <c r="AD333" s="2397"/>
      <c r="AE333" s="551"/>
      <c r="AF333" s="551"/>
      <c r="AG333" s="539" t="s">
        <v>1387</v>
      </c>
      <c r="AH333" s="551"/>
      <c r="AI333" s="551"/>
      <c r="AJ333" s="550"/>
      <c r="AK333" s="550"/>
      <c r="AL333" s="550"/>
      <c r="AM333" s="550"/>
      <c r="AN333" s="73"/>
      <c r="AO333" s="14"/>
    </row>
    <row r="334" spans="1:42" ht="15" hidden="1" customHeight="1">
      <c r="A334" s="550"/>
      <c r="B334" s="551"/>
      <c r="C334" s="551"/>
      <c r="D334" s="551"/>
      <c r="E334" s="551"/>
      <c r="F334" s="2401"/>
      <c r="G334" s="2402"/>
      <c r="H334" s="2402"/>
      <c r="I334" s="2402"/>
      <c r="J334" s="2402"/>
      <c r="K334" s="2402"/>
      <c r="L334" s="2402"/>
      <c r="M334" s="2402"/>
      <c r="N334" s="2402"/>
      <c r="O334" s="2402"/>
      <c r="P334" s="2402"/>
      <c r="Q334" s="2402"/>
      <c r="R334" s="2402"/>
      <c r="S334" s="2402"/>
      <c r="T334" s="2402"/>
      <c r="U334" s="2402"/>
      <c r="V334" s="2402"/>
      <c r="W334" s="2402"/>
      <c r="X334" s="2402"/>
      <c r="Y334" s="2402"/>
      <c r="Z334" s="2402"/>
      <c r="AA334" s="2402"/>
      <c r="AB334" s="2402"/>
      <c r="AC334" s="2402"/>
      <c r="AD334" s="2403"/>
      <c r="AE334" s="551"/>
      <c r="AF334" s="551"/>
      <c r="AG334" s="551"/>
      <c r="AH334" s="551"/>
      <c r="AI334" s="551"/>
      <c r="AJ334" s="550"/>
      <c r="AK334" s="550"/>
      <c r="AL334" s="550"/>
      <c r="AM334" s="550"/>
      <c r="AN334" s="73"/>
      <c r="AO334" s="14"/>
    </row>
    <row r="335" spans="1:42" ht="15" hidden="1" customHeight="1">
      <c r="A335" s="550"/>
      <c r="B335" s="551"/>
      <c r="C335" s="551"/>
      <c r="D335" s="551"/>
      <c r="E335" s="551"/>
      <c r="F335" s="2401"/>
      <c r="G335" s="2402"/>
      <c r="H335" s="2402"/>
      <c r="I335" s="2402"/>
      <c r="J335" s="2402"/>
      <c r="K335" s="2402"/>
      <c r="L335" s="2402"/>
      <c r="M335" s="2402"/>
      <c r="N335" s="2402"/>
      <c r="O335" s="2402"/>
      <c r="P335" s="2402"/>
      <c r="Q335" s="2402"/>
      <c r="R335" s="2402"/>
      <c r="S335" s="2402"/>
      <c r="T335" s="2402"/>
      <c r="U335" s="2402"/>
      <c r="V335" s="2402"/>
      <c r="W335" s="2402"/>
      <c r="X335" s="2402"/>
      <c r="Y335" s="2402"/>
      <c r="Z335" s="2402"/>
      <c r="AA335" s="2402"/>
      <c r="AB335" s="2402"/>
      <c r="AC335" s="2402"/>
      <c r="AD335" s="2403"/>
      <c r="AE335" s="551"/>
      <c r="AF335" s="551"/>
      <c r="AG335" s="551"/>
      <c r="AH335" s="551"/>
      <c r="AI335" s="551"/>
      <c r="AJ335" s="550"/>
      <c r="AK335" s="550"/>
      <c r="AL335" s="550"/>
      <c r="AM335" s="659"/>
      <c r="AN335" s="14"/>
      <c r="AO335" s="14"/>
    </row>
    <row r="336" spans="1:42" hidden="1">
      <c r="A336" s="550"/>
      <c r="B336" s="551"/>
      <c r="C336" s="550"/>
      <c r="D336" s="551"/>
      <c r="E336" s="550"/>
      <c r="F336" s="660" t="s">
        <v>1392</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1451</v>
      </c>
      <c r="AK338" s="2474">
        <f>IF(NOT(OR(Application!M355="Yes",Application!M356="Yes")),0,AP295)</f>
        <v>9</v>
      </c>
      <c r="AL338" s="2475"/>
      <c r="AM338" s="2476"/>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1452</v>
      </c>
      <c r="B341" s="539" t="s">
        <v>845</v>
      </c>
      <c r="C341" s="536"/>
      <c r="AC341" s="539"/>
      <c r="AE341" s="2404" t="s">
        <v>1313</v>
      </c>
      <c r="AF341" s="2404"/>
      <c r="AG341" s="2404"/>
      <c r="AH341" s="2404"/>
      <c r="AI341" s="2404"/>
      <c r="AJ341" s="2404"/>
      <c r="AK341" s="2404"/>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513" t="s">
        <v>1453</v>
      </c>
      <c r="D343" s="2513"/>
      <c r="E343" s="2513"/>
      <c r="F343" s="2513"/>
      <c r="G343" s="2513"/>
      <c r="H343" s="2513"/>
      <c r="I343" s="2513"/>
      <c r="J343" s="2513"/>
      <c r="K343" s="2513"/>
      <c r="L343" s="2513"/>
      <c r="M343" s="2513"/>
      <c r="N343" s="2513"/>
      <c r="O343" s="2513"/>
      <c r="P343" s="2513"/>
      <c r="Q343" s="2513"/>
      <c r="R343" s="2513"/>
      <c r="S343" s="2513"/>
      <c r="T343" s="2513"/>
      <c r="U343" s="2513"/>
      <c r="V343" s="2513"/>
      <c r="W343" s="2513"/>
      <c r="X343" s="2513"/>
      <c r="Y343" s="2513"/>
      <c r="Z343" s="2513"/>
      <c r="AA343" s="2513"/>
      <c r="AB343" s="2513"/>
      <c r="AC343" s="2513"/>
      <c r="AD343" s="2513"/>
      <c r="AE343" s="2513"/>
      <c r="AF343" s="2513"/>
      <c r="AG343" s="2513"/>
      <c r="AH343" s="2513"/>
      <c r="AI343" s="2513"/>
      <c r="AJ343" s="2513"/>
      <c r="AK343" s="603"/>
      <c r="AL343" s="603"/>
      <c r="AM343" s="603"/>
      <c r="AN343" s="597"/>
    </row>
    <row r="344" spans="1:44" s="550" customFormat="1" ht="12.75" customHeight="1">
      <c r="A344" s="603"/>
      <c r="B344" s="611"/>
      <c r="C344" s="2513"/>
      <c r="D344" s="2513"/>
      <c r="E344" s="2513"/>
      <c r="F344" s="2513"/>
      <c r="G344" s="2513"/>
      <c r="H344" s="2513"/>
      <c r="I344" s="2513"/>
      <c r="J344" s="2513"/>
      <c r="K344" s="2513"/>
      <c r="L344" s="2513"/>
      <c r="M344" s="2513"/>
      <c r="N344" s="2513"/>
      <c r="O344" s="2513"/>
      <c r="P344" s="2513"/>
      <c r="Q344" s="2513"/>
      <c r="R344" s="2513"/>
      <c r="S344" s="2513"/>
      <c r="T344" s="2513"/>
      <c r="U344" s="2513"/>
      <c r="V344" s="2513"/>
      <c r="W344" s="2513"/>
      <c r="X344" s="2513"/>
      <c r="Y344" s="2513"/>
      <c r="Z344" s="2513"/>
      <c r="AA344" s="2513"/>
      <c r="AB344" s="2513"/>
      <c r="AC344" s="2513"/>
      <c r="AD344" s="2513"/>
      <c r="AE344" s="2513"/>
      <c r="AF344" s="2513"/>
      <c r="AG344" s="2513"/>
      <c r="AH344" s="2513"/>
      <c r="AI344" s="2513"/>
      <c r="AJ344" s="2513"/>
      <c r="AK344" s="603"/>
      <c r="AL344" s="603"/>
      <c r="AM344" s="603"/>
      <c r="AN344" s="597"/>
    </row>
    <row r="345" spans="1:44" s="550" customFormat="1" ht="12.75" customHeight="1">
      <c r="A345" s="603"/>
      <c r="B345" s="611"/>
      <c r="C345" s="2513"/>
      <c r="D345" s="2513"/>
      <c r="E345" s="2513"/>
      <c r="F345" s="2513"/>
      <c r="G345" s="2513"/>
      <c r="H345" s="2513"/>
      <c r="I345" s="2513"/>
      <c r="J345" s="2513"/>
      <c r="K345" s="2513"/>
      <c r="L345" s="2513"/>
      <c r="M345" s="2513"/>
      <c r="N345" s="2513"/>
      <c r="O345" s="2513"/>
      <c r="P345" s="2513"/>
      <c r="Q345" s="2513"/>
      <c r="R345" s="2513"/>
      <c r="S345" s="2513"/>
      <c r="T345" s="2513"/>
      <c r="U345" s="2513"/>
      <c r="V345" s="2513"/>
      <c r="W345" s="2513"/>
      <c r="X345" s="2513"/>
      <c r="Y345" s="2513"/>
      <c r="Z345" s="2513"/>
      <c r="AA345" s="2513"/>
      <c r="AB345" s="2513"/>
      <c r="AC345" s="2513"/>
      <c r="AD345" s="2513"/>
      <c r="AE345" s="2513"/>
      <c r="AF345" s="2513"/>
      <c r="AG345" s="2513"/>
      <c r="AH345" s="2513"/>
      <c r="AI345" s="2513"/>
      <c r="AJ345" s="2513"/>
      <c r="AK345" s="603"/>
      <c r="AL345" s="603"/>
      <c r="AM345" s="603"/>
      <c r="AN345" s="597"/>
      <c r="AQ345" s="570"/>
    </row>
    <row r="346" spans="1:44" s="550" customFormat="1" ht="12.75" customHeight="1">
      <c r="A346" s="603"/>
      <c r="B346" s="611"/>
      <c r="C346" s="2513"/>
      <c r="D346" s="2513"/>
      <c r="E346" s="2513"/>
      <c r="F346" s="2513"/>
      <c r="G346" s="2513"/>
      <c r="H346" s="2513"/>
      <c r="I346" s="2513"/>
      <c r="J346" s="2513"/>
      <c r="K346" s="2513"/>
      <c r="L346" s="2513"/>
      <c r="M346" s="2513"/>
      <c r="N346" s="2513"/>
      <c r="O346" s="2513"/>
      <c r="P346" s="2513"/>
      <c r="Q346" s="2513"/>
      <c r="R346" s="2513"/>
      <c r="S346" s="2513"/>
      <c r="T346" s="2513"/>
      <c r="U346" s="2513"/>
      <c r="V346" s="2513"/>
      <c r="W346" s="2513"/>
      <c r="X346" s="2513"/>
      <c r="Y346" s="2513"/>
      <c r="Z346" s="2513"/>
      <c r="AA346" s="2513"/>
      <c r="AB346" s="2513"/>
      <c r="AC346" s="2513"/>
      <c r="AD346" s="2513"/>
      <c r="AE346" s="2513"/>
      <c r="AF346" s="2513"/>
      <c r="AG346" s="2513"/>
      <c r="AH346" s="2513"/>
      <c r="AI346" s="2513"/>
      <c r="AJ346" s="2513"/>
      <c r="AK346" s="603"/>
      <c r="AL346" s="603"/>
      <c r="AM346" s="603"/>
      <c r="AN346" s="597"/>
      <c r="AQ346" s="570"/>
    </row>
    <row r="347" spans="1:44" s="550" customFormat="1" ht="12.4" customHeight="1">
      <c r="A347" s="603"/>
      <c r="B347" s="611"/>
      <c r="C347" s="2513"/>
      <c r="D347" s="2513"/>
      <c r="E347" s="2513"/>
      <c r="F347" s="2513"/>
      <c r="G347" s="2513"/>
      <c r="H347" s="2513"/>
      <c r="I347" s="2513"/>
      <c r="J347" s="2513"/>
      <c r="K347" s="2513"/>
      <c r="L347" s="2513"/>
      <c r="M347" s="2513"/>
      <c r="N347" s="2513"/>
      <c r="O347" s="2513"/>
      <c r="P347" s="2513"/>
      <c r="Q347" s="2513"/>
      <c r="R347" s="2513"/>
      <c r="S347" s="2513"/>
      <c r="T347" s="2513"/>
      <c r="U347" s="2513"/>
      <c r="V347" s="2513"/>
      <c r="W347" s="2513"/>
      <c r="X347" s="2513"/>
      <c r="Y347" s="2513"/>
      <c r="Z347" s="2513"/>
      <c r="AA347" s="2513"/>
      <c r="AB347" s="2513"/>
      <c r="AC347" s="2513"/>
      <c r="AD347" s="2513"/>
      <c r="AE347" s="2513"/>
      <c r="AF347" s="2513"/>
      <c r="AG347" s="2513"/>
      <c r="AH347" s="2513"/>
      <c r="AI347" s="2513"/>
      <c r="AJ347" s="2513"/>
      <c r="AK347" s="603"/>
      <c r="AL347" s="603"/>
      <c r="AM347" s="603"/>
      <c r="AN347" s="597"/>
      <c r="AQ347" s="570"/>
      <c r="AR347" s="570"/>
    </row>
    <row r="348" spans="1:44" s="550" customFormat="1" ht="45.75" customHeight="1">
      <c r="A348" s="603"/>
      <c r="B348" s="611"/>
      <c r="C348" s="2513" t="s">
        <v>2092</v>
      </c>
      <c r="D348" s="2513"/>
      <c r="E348" s="2513"/>
      <c r="F348" s="2513"/>
      <c r="G348" s="2513"/>
      <c r="H348" s="2513"/>
      <c r="I348" s="2513"/>
      <c r="J348" s="2513"/>
      <c r="K348" s="2513"/>
      <c r="L348" s="2513"/>
      <c r="M348" s="2513"/>
      <c r="N348" s="2513"/>
      <c r="O348" s="2513"/>
      <c r="P348" s="2513"/>
      <c r="Q348" s="2513"/>
      <c r="R348" s="2513"/>
      <c r="S348" s="2513"/>
      <c r="T348" s="2513"/>
      <c r="U348" s="2513"/>
      <c r="V348" s="2513"/>
      <c r="W348" s="2513"/>
      <c r="X348" s="2513"/>
      <c r="Y348" s="2513"/>
      <c r="Z348" s="2513"/>
      <c r="AA348" s="2513"/>
      <c r="AB348" s="2513"/>
      <c r="AC348" s="2513"/>
      <c r="AD348" s="2513"/>
      <c r="AE348" s="2513"/>
      <c r="AF348" s="2513"/>
      <c r="AG348" s="2513"/>
      <c r="AH348" s="2513"/>
      <c r="AI348" s="2513"/>
      <c r="AJ348" s="2513"/>
      <c r="AK348" s="603"/>
      <c r="AL348" s="603"/>
      <c r="AM348" s="603"/>
      <c r="AN348" s="597"/>
      <c r="AQ348" s="570"/>
      <c r="AR348" s="570"/>
    </row>
    <row r="349" spans="1:44" s="550" customFormat="1" ht="12.4"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513" t="s">
        <v>2207</v>
      </c>
      <c r="D350" s="2513"/>
      <c r="E350" s="2513"/>
      <c r="F350" s="2513"/>
      <c r="G350" s="2513"/>
      <c r="H350" s="2513"/>
      <c r="I350" s="2513"/>
      <c r="J350" s="2513"/>
      <c r="K350" s="2513"/>
      <c r="L350" s="2513"/>
      <c r="M350" s="2513"/>
      <c r="N350" s="2513"/>
      <c r="O350" s="2513"/>
      <c r="P350" s="2513"/>
      <c r="Q350" s="2513"/>
      <c r="R350" s="2513"/>
      <c r="S350" s="2513"/>
      <c r="T350" s="2513"/>
      <c r="U350" s="2513"/>
      <c r="V350" s="2513"/>
      <c r="W350" s="2513"/>
      <c r="X350" s="2513"/>
      <c r="Y350" s="2513"/>
      <c r="Z350" s="2513"/>
      <c r="AA350" s="2513"/>
      <c r="AB350" s="2513"/>
      <c r="AC350" s="2513"/>
      <c r="AD350" s="2513"/>
      <c r="AE350" s="2513"/>
      <c r="AF350" s="2513"/>
      <c r="AG350" s="2513"/>
      <c r="AH350" s="2513"/>
      <c r="AI350" s="2513"/>
      <c r="AJ350" s="2513"/>
      <c r="AK350" s="603"/>
      <c r="AL350" s="603"/>
      <c r="AM350" s="603"/>
      <c r="AN350" s="597"/>
      <c r="AQ350" s="570"/>
      <c r="AR350" s="570"/>
    </row>
    <row r="351" spans="1:44" s="550" customFormat="1" ht="30" customHeight="1">
      <c r="A351" s="603"/>
      <c r="B351" s="611"/>
      <c r="C351" s="2513"/>
      <c r="D351" s="2513"/>
      <c r="E351" s="2513"/>
      <c r="F351" s="2513"/>
      <c r="G351" s="2513"/>
      <c r="H351" s="2513"/>
      <c r="I351" s="2513"/>
      <c r="J351" s="2513"/>
      <c r="K351" s="2513"/>
      <c r="L351" s="2513"/>
      <c r="M351" s="2513"/>
      <c r="N351" s="2513"/>
      <c r="O351" s="2513"/>
      <c r="P351" s="2513"/>
      <c r="Q351" s="2513"/>
      <c r="R351" s="2513"/>
      <c r="S351" s="2513"/>
      <c r="T351" s="2513"/>
      <c r="U351" s="2513"/>
      <c r="V351" s="2513"/>
      <c r="W351" s="2513"/>
      <c r="X351" s="2513"/>
      <c r="Y351" s="2513"/>
      <c r="Z351" s="2513"/>
      <c r="AA351" s="2513"/>
      <c r="AB351" s="2513"/>
      <c r="AC351" s="2513"/>
      <c r="AD351" s="2513"/>
      <c r="AE351" s="2513"/>
      <c r="AF351" s="2513"/>
      <c r="AG351" s="2513"/>
      <c r="AH351" s="2513"/>
      <c r="AI351" s="2513"/>
      <c r="AJ351" s="2513"/>
      <c r="AK351" s="603"/>
      <c r="AL351" s="603"/>
      <c r="AM351" s="603"/>
      <c r="AN351" s="597"/>
      <c r="AR351" s="570"/>
    </row>
    <row r="352" spans="1:44" s="550" customFormat="1" ht="12.75" customHeight="1">
      <c r="A352" s="603"/>
      <c r="B352" s="611"/>
      <c r="C352" s="2513"/>
      <c r="D352" s="2513"/>
      <c r="E352" s="2513"/>
      <c r="F352" s="2513"/>
      <c r="G352" s="2513"/>
      <c r="H352" s="2513"/>
      <c r="I352" s="2513"/>
      <c r="J352" s="2513"/>
      <c r="K352" s="2513"/>
      <c r="L352" s="2513"/>
      <c r="M352" s="2513"/>
      <c r="N352" s="2513"/>
      <c r="O352" s="2513"/>
      <c r="P352" s="2513"/>
      <c r="Q352" s="2513"/>
      <c r="R352" s="2513"/>
      <c r="S352" s="2513"/>
      <c r="T352" s="2513"/>
      <c r="U352" s="2513"/>
      <c r="V352" s="2513"/>
      <c r="W352" s="2513"/>
      <c r="X352" s="2513"/>
      <c r="Y352" s="2513"/>
      <c r="Z352" s="2513"/>
      <c r="AA352" s="2513"/>
      <c r="AB352" s="2513"/>
      <c r="AC352" s="2513"/>
      <c r="AD352" s="2513"/>
      <c r="AE352" s="2513"/>
      <c r="AF352" s="2513"/>
      <c r="AG352" s="2513"/>
      <c r="AH352" s="2513"/>
      <c r="AI352" s="2513"/>
      <c r="AJ352" s="2513"/>
      <c r="AK352" s="603"/>
      <c r="AL352" s="603"/>
      <c r="AM352" s="603"/>
      <c r="AN352" s="597"/>
      <c r="AR352" s="570"/>
    </row>
    <row r="353" spans="1:46" s="550" customFormat="1" ht="12.75" customHeight="1">
      <c r="A353" s="603"/>
      <c r="B353" s="611"/>
      <c r="C353" s="2513" t="s">
        <v>1454</v>
      </c>
      <c r="D353" s="2513"/>
      <c r="E353" s="2513"/>
      <c r="F353" s="2513"/>
      <c r="G353" s="2513"/>
      <c r="H353" s="2513"/>
      <c r="I353" s="2513"/>
      <c r="J353" s="2513"/>
      <c r="K353" s="2513"/>
      <c r="L353" s="2513"/>
      <c r="M353" s="2513"/>
      <c r="N353" s="2513"/>
      <c r="O353" s="2513"/>
      <c r="P353" s="2513"/>
      <c r="Q353" s="2513"/>
      <c r="R353" s="2513"/>
      <c r="S353" s="2513"/>
      <c r="T353" s="2513"/>
      <c r="U353" s="2513"/>
      <c r="V353" s="2513"/>
      <c r="W353" s="2513"/>
      <c r="X353" s="2513"/>
      <c r="Y353" s="2513"/>
      <c r="Z353" s="2513"/>
      <c r="AA353" s="2513"/>
      <c r="AB353" s="2513"/>
      <c r="AC353" s="2513"/>
      <c r="AD353" s="2513"/>
      <c r="AE353" s="2513"/>
      <c r="AF353" s="2513"/>
      <c r="AG353" s="2513"/>
      <c r="AH353" s="2513"/>
      <c r="AI353" s="2513"/>
      <c r="AJ353" s="2513"/>
      <c r="AK353" s="603"/>
      <c r="AL353" s="603"/>
      <c r="AM353" s="603"/>
      <c r="AN353" s="597"/>
      <c r="AQ353" s="570"/>
      <c r="AR353" s="570"/>
    </row>
    <row r="354" spans="1:46" s="550" customFormat="1" ht="12.75" customHeight="1">
      <c r="A354" s="603"/>
      <c r="B354" s="611"/>
      <c r="C354" s="2513"/>
      <c r="D354" s="2513"/>
      <c r="E354" s="2513"/>
      <c r="F354" s="2513"/>
      <c r="G354" s="2513"/>
      <c r="H354" s="2513"/>
      <c r="I354" s="2513"/>
      <c r="J354" s="2513"/>
      <c r="K354" s="2513"/>
      <c r="L354" s="2513"/>
      <c r="M354" s="2513"/>
      <c r="N354" s="2513"/>
      <c r="O354" s="2513"/>
      <c r="P354" s="2513"/>
      <c r="Q354" s="2513"/>
      <c r="R354" s="2513"/>
      <c r="S354" s="2513"/>
      <c r="T354" s="2513"/>
      <c r="U354" s="2513"/>
      <c r="V354" s="2513"/>
      <c r="W354" s="2513"/>
      <c r="X354" s="2513"/>
      <c r="Y354" s="2513"/>
      <c r="Z354" s="2513"/>
      <c r="AA354" s="2513"/>
      <c r="AB354" s="2513"/>
      <c r="AC354" s="2513"/>
      <c r="AD354" s="2513"/>
      <c r="AE354" s="2513"/>
      <c r="AF354" s="2513"/>
      <c r="AG354" s="2513"/>
      <c r="AH354" s="2513"/>
      <c r="AI354" s="2513"/>
      <c r="AJ354" s="2513"/>
      <c r="AK354" s="603"/>
      <c r="AL354" s="603"/>
      <c r="AM354" s="603"/>
      <c r="AN354" s="597"/>
      <c r="AQ354" s="570"/>
      <c r="AR354" s="570"/>
    </row>
    <row r="355" spans="1:46" s="550" customFormat="1" ht="13.15" customHeight="1">
      <c r="A355" s="603"/>
      <c r="B355" s="611"/>
      <c r="C355" s="2513"/>
      <c r="D355" s="2513"/>
      <c r="E355" s="2513"/>
      <c r="F355" s="2513"/>
      <c r="G355" s="2513"/>
      <c r="H355" s="2513"/>
      <c r="I355" s="2513"/>
      <c r="J355" s="2513"/>
      <c r="K355" s="2513"/>
      <c r="L355" s="2513"/>
      <c r="M355" s="2513"/>
      <c r="N355" s="2513"/>
      <c r="O355" s="2513"/>
      <c r="P355" s="2513"/>
      <c r="Q355" s="2513"/>
      <c r="R355" s="2513"/>
      <c r="S355" s="2513"/>
      <c r="T355" s="2513"/>
      <c r="U355" s="2513"/>
      <c r="V355" s="2513"/>
      <c r="W355" s="2513"/>
      <c r="X355" s="2513"/>
      <c r="Y355" s="2513"/>
      <c r="Z355" s="2513"/>
      <c r="AA355" s="2513"/>
      <c r="AB355" s="2513"/>
      <c r="AC355" s="2513"/>
      <c r="AD355" s="2513"/>
      <c r="AE355" s="2513"/>
      <c r="AF355" s="2513"/>
      <c r="AG355" s="2513"/>
      <c r="AH355" s="2513"/>
      <c r="AI355" s="2513"/>
      <c r="AJ355" s="2513"/>
      <c r="AK355" s="603"/>
      <c r="AL355" s="603"/>
      <c r="AM355" s="603"/>
      <c r="AN355" s="597"/>
      <c r="AQ355" s="570"/>
      <c r="AR355" s="570"/>
    </row>
    <row r="356" spans="1:46" s="550" customFormat="1" ht="12.75" customHeight="1">
      <c r="A356" s="603"/>
      <c r="B356" s="611"/>
      <c r="C356" s="2513"/>
      <c r="D356" s="2513"/>
      <c r="E356" s="2513"/>
      <c r="F356" s="2513"/>
      <c r="G356" s="2513"/>
      <c r="H356" s="2513"/>
      <c r="I356" s="2513"/>
      <c r="J356" s="2513"/>
      <c r="K356" s="2513"/>
      <c r="L356" s="2513"/>
      <c r="M356" s="2513"/>
      <c r="N356" s="2513"/>
      <c r="O356" s="2513"/>
      <c r="P356" s="2513"/>
      <c r="Q356" s="2513"/>
      <c r="R356" s="2513"/>
      <c r="S356" s="2513"/>
      <c r="T356" s="2513"/>
      <c r="U356" s="2513"/>
      <c r="V356" s="2513"/>
      <c r="W356" s="2513"/>
      <c r="X356" s="2513"/>
      <c r="Y356" s="2513"/>
      <c r="Z356" s="2513"/>
      <c r="AA356" s="2513"/>
      <c r="AB356" s="2513"/>
      <c r="AC356" s="2513"/>
      <c r="AD356" s="2513"/>
      <c r="AE356" s="2513"/>
      <c r="AF356" s="2513"/>
      <c r="AG356" s="2513"/>
      <c r="AH356" s="2513"/>
      <c r="AI356" s="2513"/>
      <c r="AJ356" s="2513"/>
      <c r="AK356" s="603"/>
      <c r="AL356" s="603"/>
      <c r="AM356" s="603"/>
      <c r="AN356" s="597"/>
      <c r="AO356" s="694"/>
      <c r="AP356" s="694"/>
      <c r="AQ356" s="570"/>
    </row>
    <row r="357" spans="1:46" s="550" customFormat="1" ht="11.85" customHeight="1">
      <c r="A357" s="603"/>
      <c r="B357" s="611"/>
      <c r="C357" s="2513"/>
      <c r="D357" s="2513"/>
      <c r="E357" s="2513"/>
      <c r="F357" s="2513"/>
      <c r="G357" s="2513"/>
      <c r="H357" s="2513"/>
      <c r="I357" s="2513"/>
      <c r="J357" s="2513"/>
      <c r="K357" s="2513"/>
      <c r="L357" s="2513"/>
      <c r="M357" s="2513"/>
      <c r="N357" s="2513"/>
      <c r="O357" s="2513"/>
      <c r="P357" s="2513"/>
      <c r="Q357" s="2513"/>
      <c r="R357" s="2513"/>
      <c r="S357" s="2513"/>
      <c r="T357" s="2513"/>
      <c r="U357" s="2513"/>
      <c r="V357" s="2513"/>
      <c r="W357" s="2513"/>
      <c r="X357" s="2513"/>
      <c r="Y357" s="2513"/>
      <c r="Z357" s="2513"/>
      <c r="AA357" s="2513"/>
      <c r="AB357" s="2513"/>
      <c r="AC357" s="2513"/>
      <c r="AD357" s="2513"/>
      <c r="AE357" s="2513"/>
      <c r="AF357" s="2513"/>
      <c r="AG357" s="2513"/>
      <c r="AH357" s="2513"/>
      <c r="AI357" s="2513"/>
      <c r="AJ357" s="2513"/>
      <c r="AK357" s="603"/>
      <c r="AL357" s="603"/>
      <c r="AM357" s="603"/>
      <c r="AN357" s="597"/>
      <c r="AO357" s="695" t="s">
        <v>112</v>
      </c>
      <c r="AP357" s="696">
        <f>IF(C381="Yes",5,0)</f>
        <v>0</v>
      </c>
      <c r="AS357" s="539" t="s">
        <v>1455</v>
      </c>
    </row>
    <row r="358" spans="1:46" s="550" customFormat="1" ht="12.75" customHeight="1">
      <c r="A358" s="603"/>
      <c r="B358" s="611"/>
      <c r="C358" s="2513"/>
      <c r="D358" s="2513"/>
      <c r="E358" s="2513"/>
      <c r="F358" s="2513"/>
      <c r="G358" s="2513"/>
      <c r="H358" s="2513"/>
      <c r="I358" s="2513"/>
      <c r="J358" s="2513"/>
      <c r="K358" s="2513"/>
      <c r="L358" s="2513"/>
      <c r="M358" s="2513"/>
      <c r="N358" s="2513"/>
      <c r="O358" s="2513"/>
      <c r="P358" s="2513"/>
      <c r="Q358" s="2513"/>
      <c r="R358" s="2513"/>
      <c r="S358" s="2513"/>
      <c r="T358" s="2513"/>
      <c r="U358" s="2513"/>
      <c r="V358" s="2513"/>
      <c r="W358" s="2513"/>
      <c r="X358" s="2513"/>
      <c r="Y358" s="2513"/>
      <c r="Z358" s="2513"/>
      <c r="AA358" s="2513"/>
      <c r="AB358" s="2513"/>
      <c r="AC358" s="2513"/>
      <c r="AD358" s="2513"/>
      <c r="AE358" s="2513"/>
      <c r="AF358" s="2513"/>
      <c r="AG358" s="2513"/>
      <c r="AH358" s="2513"/>
      <c r="AI358" s="2513"/>
      <c r="AJ358" s="2513"/>
      <c r="AK358" s="603"/>
      <c r="AL358" s="603"/>
      <c r="AM358" s="603"/>
      <c r="AN358" s="597"/>
      <c r="AO358" s="695" t="s">
        <v>113</v>
      </c>
      <c r="AP358" s="696">
        <f>IF(C389="Yes",5,0)</f>
        <v>0</v>
      </c>
      <c r="AS358" s="2534">
        <f>IF(Application!D211="Non-Targeted",(SUM(AQ366+AQ375)),AS362)</f>
        <v>10</v>
      </c>
      <c r="AT358" s="2534"/>
    </row>
    <row r="359" spans="1:46" s="550" customFormat="1" ht="12.75" customHeight="1">
      <c r="A359" s="603"/>
      <c r="B359" s="611"/>
      <c r="C359" s="2513"/>
      <c r="D359" s="2513"/>
      <c r="E359" s="2513"/>
      <c r="F359" s="2513"/>
      <c r="G359" s="2513"/>
      <c r="H359" s="2513"/>
      <c r="I359" s="2513"/>
      <c r="J359" s="2513"/>
      <c r="K359" s="2513"/>
      <c r="L359" s="2513"/>
      <c r="M359" s="2513"/>
      <c r="N359" s="2513"/>
      <c r="O359" s="2513"/>
      <c r="P359" s="2513"/>
      <c r="Q359" s="2513"/>
      <c r="R359" s="2513"/>
      <c r="S359" s="2513"/>
      <c r="T359" s="2513"/>
      <c r="U359" s="2513"/>
      <c r="V359" s="2513"/>
      <c r="W359" s="2513"/>
      <c r="X359" s="2513"/>
      <c r="Y359" s="2513"/>
      <c r="Z359" s="2513"/>
      <c r="AA359" s="2513"/>
      <c r="AB359" s="2513"/>
      <c r="AC359" s="2513"/>
      <c r="AD359" s="2513"/>
      <c r="AE359" s="2513"/>
      <c r="AF359" s="2513"/>
      <c r="AG359" s="2513"/>
      <c r="AH359" s="2513"/>
      <c r="AI359" s="2513"/>
      <c r="AJ359" s="2513"/>
      <c r="AK359" s="603"/>
      <c r="AL359" s="603"/>
      <c r="AM359" s="603"/>
      <c r="AN359" s="597"/>
      <c r="AO359" s="695" t="s">
        <v>119</v>
      </c>
      <c r="AP359" s="696">
        <f>IF(C397="Yes",7,0)</f>
        <v>7</v>
      </c>
      <c r="AS359" s="539" t="s">
        <v>1456</v>
      </c>
    </row>
    <row r="360" spans="1:46" s="550" customFormat="1" ht="12.75" customHeight="1">
      <c r="A360" s="603"/>
      <c r="B360" s="611"/>
      <c r="C360" s="2513"/>
      <c r="D360" s="2513"/>
      <c r="E360" s="2513"/>
      <c r="F360" s="2513"/>
      <c r="G360" s="2513"/>
      <c r="H360" s="2513"/>
      <c r="I360" s="2513"/>
      <c r="J360" s="2513"/>
      <c r="K360" s="2513"/>
      <c r="L360" s="2513"/>
      <c r="M360" s="2513"/>
      <c r="N360" s="2513"/>
      <c r="O360" s="2513"/>
      <c r="P360" s="2513"/>
      <c r="Q360" s="2513"/>
      <c r="R360" s="2513"/>
      <c r="S360" s="2513"/>
      <c r="T360" s="2513"/>
      <c r="U360" s="2513"/>
      <c r="V360" s="2513"/>
      <c r="W360" s="2513"/>
      <c r="X360" s="2513"/>
      <c r="Y360" s="2513"/>
      <c r="Z360" s="2513"/>
      <c r="AA360" s="2513"/>
      <c r="AB360" s="2513"/>
      <c r="AC360" s="2513"/>
      <c r="AD360" s="2513"/>
      <c r="AE360" s="2513"/>
      <c r="AF360" s="2513"/>
      <c r="AG360" s="2513"/>
      <c r="AH360" s="2513"/>
      <c r="AI360" s="2513"/>
      <c r="AJ360" s="2513"/>
      <c r="AK360" s="603"/>
      <c r="AL360" s="603"/>
      <c r="AM360" s="603"/>
      <c r="AN360" s="597"/>
      <c r="AO360" s="597"/>
      <c r="AP360" s="696">
        <f>IF(C399="Yes",5,0)</f>
        <v>0</v>
      </c>
      <c r="AS360" s="2534">
        <f>IF(AND(AQ366&gt;0,AQ375&gt;0),(AQ366+AQ375)/2,0)</f>
        <v>0</v>
      </c>
      <c r="AT360" s="2534"/>
    </row>
    <row r="361" spans="1:46" s="550" customFormat="1" ht="12.75" customHeight="1">
      <c r="A361" s="603"/>
      <c r="B361" s="611"/>
      <c r="C361" s="2513"/>
      <c r="D361" s="2513"/>
      <c r="E361" s="2513"/>
      <c r="F361" s="2513"/>
      <c r="G361" s="2513"/>
      <c r="H361" s="2513"/>
      <c r="I361" s="2513"/>
      <c r="J361" s="2513"/>
      <c r="K361" s="2513"/>
      <c r="L361" s="2513"/>
      <c r="M361" s="2513"/>
      <c r="N361" s="2513"/>
      <c r="O361" s="2513"/>
      <c r="P361" s="2513"/>
      <c r="Q361" s="2513"/>
      <c r="R361" s="2513"/>
      <c r="S361" s="2513"/>
      <c r="T361" s="2513"/>
      <c r="U361" s="2513"/>
      <c r="V361" s="2513"/>
      <c r="W361" s="2513"/>
      <c r="X361" s="2513"/>
      <c r="Y361" s="2513"/>
      <c r="Z361" s="2513"/>
      <c r="AA361" s="2513"/>
      <c r="AB361" s="2513"/>
      <c r="AC361" s="2513"/>
      <c r="AD361" s="2513"/>
      <c r="AE361" s="2513"/>
      <c r="AF361" s="2513"/>
      <c r="AG361" s="2513"/>
      <c r="AH361" s="2513"/>
      <c r="AI361" s="2513"/>
      <c r="AJ361" s="2513"/>
      <c r="AK361" s="603"/>
      <c r="AL361" s="603"/>
      <c r="AM361" s="603"/>
      <c r="AN361" s="597"/>
      <c r="AO361" s="695" t="s">
        <v>581</v>
      </c>
      <c r="AP361" s="696">
        <f>IF(C407="Yes",5,0)</f>
        <v>0</v>
      </c>
      <c r="AS361" s="539" t="s">
        <v>1878</v>
      </c>
    </row>
    <row r="362" spans="1:46" s="550" customFormat="1" ht="12.75" customHeight="1">
      <c r="A362" s="603"/>
      <c r="B362" s="611"/>
      <c r="C362" s="2535" t="s">
        <v>2231</v>
      </c>
      <c r="D362" s="2535"/>
      <c r="E362" s="2535"/>
      <c r="F362" s="2535"/>
      <c r="G362" s="2535"/>
      <c r="H362" s="2535"/>
      <c r="I362" s="2535"/>
      <c r="J362" s="2535"/>
      <c r="K362" s="2535"/>
      <c r="L362" s="2535"/>
      <c r="M362" s="2535"/>
      <c r="N362" s="2535"/>
      <c r="O362" s="2535"/>
      <c r="P362" s="2535"/>
      <c r="Q362" s="2535"/>
      <c r="R362" s="2535"/>
      <c r="S362" s="2535"/>
      <c r="T362" s="2535"/>
      <c r="U362" s="2535"/>
      <c r="V362" s="2535"/>
      <c r="W362" s="2535"/>
      <c r="X362" s="2535"/>
      <c r="Y362" s="2535"/>
      <c r="Z362" s="2535"/>
      <c r="AA362" s="2535"/>
      <c r="AB362" s="2535"/>
      <c r="AC362" s="2535"/>
      <c r="AD362" s="2535"/>
      <c r="AE362" s="2535"/>
      <c r="AF362" s="2535"/>
      <c r="AG362" s="2535"/>
      <c r="AH362" s="2535"/>
      <c r="AI362" s="2535"/>
      <c r="AJ362" s="2535"/>
      <c r="AK362" s="603"/>
      <c r="AL362" s="603"/>
      <c r="AM362" s="603"/>
      <c r="AN362" s="597"/>
      <c r="AO362" s="597"/>
      <c r="AP362" s="696">
        <f>IF(C409="Yes",3,0)</f>
        <v>3</v>
      </c>
      <c r="AS362" s="2534">
        <f>IF(AQ366=0,AQ375,AQ366)</f>
        <v>10</v>
      </c>
      <c r="AT362" s="2534"/>
    </row>
    <row r="363" spans="1:46" s="550" customFormat="1" ht="12.75" customHeight="1">
      <c r="A363" s="603"/>
      <c r="B363" s="611"/>
      <c r="C363" s="2535"/>
      <c r="D363" s="2535"/>
      <c r="E363" s="2535"/>
      <c r="F363" s="2535"/>
      <c r="G363" s="2535"/>
      <c r="H363" s="2535"/>
      <c r="I363" s="2535"/>
      <c r="J363" s="2535"/>
      <c r="K363" s="2535"/>
      <c r="L363" s="2535"/>
      <c r="M363" s="2535"/>
      <c r="N363" s="2535"/>
      <c r="O363" s="2535"/>
      <c r="P363" s="2535"/>
      <c r="Q363" s="2535"/>
      <c r="R363" s="2535"/>
      <c r="S363" s="2535"/>
      <c r="T363" s="2535"/>
      <c r="U363" s="2535"/>
      <c r="V363" s="2535"/>
      <c r="W363" s="2535"/>
      <c r="X363" s="2535"/>
      <c r="Y363" s="2535"/>
      <c r="Z363" s="2535"/>
      <c r="AA363" s="2535"/>
      <c r="AB363" s="2535"/>
      <c r="AC363" s="2535"/>
      <c r="AD363" s="2535"/>
      <c r="AE363" s="2535"/>
      <c r="AF363" s="2535"/>
      <c r="AG363" s="2535"/>
      <c r="AH363" s="2535"/>
      <c r="AI363" s="2535"/>
      <c r="AJ363" s="2535"/>
      <c r="AK363" s="603"/>
      <c r="AL363" s="603"/>
      <c r="AM363" s="603"/>
      <c r="AN363" s="597"/>
      <c r="AO363" s="695" t="s">
        <v>763</v>
      </c>
      <c r="AP363" s="696">
        <f>IF(C412="Yes",5,0)</f>
        <v>0</v>
      </c>
    </row>
    <row r="364" spans="1:46" s="550" customFormat="1" ht="12.75" customHeight="1">
      <c r="A364" s="603"/>
      <c r="B364" s="611"/>
      <c r="C364" s="2535"/>
      <c r="D364" s="2535"/>
      <c r="E364" s="2535"/>
      <c r="F364" s="2535"/>
      <c r="G364" s="2535"/>
      <c r="H364" s="2535"/>
      <c r="I364" s="2535"/>
      <c r="J364" s="2535"/>
      <c r="K364" s="2535"/>
      <c r="L364" s="2535"/>
      <c r="M364" s="2535"/>
      <c r="N364" s="2535"/>
      <c r="O364" s="2535"/>
      <c r="P364" s="2535"/>
      <c r="Q364" s="2535"/>
      <c r="R364" s="2535"/>
      <c r="S364" s="2535"/>
      <c r="T364" s="2535"/>
      <c r="U364" s="2535"/>
      <c r="V364" s="2535"/>
      <c r="W364" s="2535"/>
      <c r="X364" s="2535"/>
      <c r="Y364" s="2535"/>
      <c r="Z364" s="2535"/>
      <c r="AA364" s="2535"/>
      <c r="AB364" s="2535"/>
      <c r="AC364" s="2535"/>
      <c r="AD364" s="2535"/>
      <c r="AE364" s="2535"/>
      <c r="AF364" s="2535"/>
      <c r="AG364" s="2535"/>
      <c r="AH364" s="2535"/>
      <c r="AI364" s="2535"/>
      <c r="AJ364" s="2535"/>
      <c r="AK364" s="603"/>
      <c r="AL364" s="603"/>
      <c r="AM364" s="603"/>
      <c r="AN364" s="597"/>
      <c r="AO364" s="695" t="s">
        <v>584</v>
      </c>
      <c r="AP364" s="696">
        <f>IF(C421="Yes",5,0)</f>
        <v>0</v>
      </c>
    </row>
    <row r="365" spans="1:46" s="550" customFormat="1" ht="11.85" customHeight="1">
      <c r="A365" s="603"/>
      <c r="B365" s="611"/>
      <c r="C365" s="2535"/>
      <c r="D365" s="2535"/>
      <c r="E365" s="2535"/>
      <c r="F365" s="2535"/>
      <c r="G365" s="2535"/>
      <c r="H365" s="2535"/>
      <c r="I365" s="2535"/>
      <c r="J365" s="2535"/>
      <c r="K365" s="2535"/>
      <c r="L365" s="2535"/>
      <c r="M365" s="2535"/>
      <c r="N365" s="2535"/>
      <c r="O365" s="2535"/>
      <c r="P365" s="2535"/>
      <c r="Q365" s="2535"/>
      <c r="R365" s="2535"/>
      <c r="S365" s="2535"/>
      <c r="T365" s="2535"/>
      <c r="U365" s="2535"/>
      <c r="V365" s="2535"/>
      <c r="W365" s="2535"/>
      <c r="X365" s="2535"/>
      <c r="Y365" s="2535"/>
      <c r="Z365" s="2535"/>
      <c r="AA365" s="2535"/>
      <c r="AB365" s="2535"/>
      <c r="AC365" s="2535"/>
      <c r="AD365" s="2535"/>
      <c r="AE365" s="2535"/>
      <c r="AF365" s="2535"/>
      <c r="AG365" s="2535"/>
      <c r="AH365" s="2535"/>
      <c r="AI365" s="2535"/>
      <c r="AJ365" s="2535"/>
      <c r="AK365" s="603"/>
      <c r="AL365" s="603"/>
      <c r="AM365" s="603"/>
      <c r="AN365" s="597"/>
      <c r="AO365" s="697"/>
      <c r="AP365" s="698">
        <f>IF(C423="Yes",3,0)</f>
        <v>0</v>
      </c>
    </row>
    <row r="366" spans="1:46" s="550" customFormat="1" ht="12.4" customHeight="1">
      <c r="A366" s="603"/>
      <c r="B366" s="611"/>
      <c r="C366" s="2535"/>
      <c r="D366" s="2535"/>
      <c r="E366" s="2535"/>
      <c r="F366" s="2535"/>
      <c r="G366" s="2535"/>
      <c r="H366" s="2535"/>
      <c r="I366" s="2535"/>
      <c r="J366" s="2535"/>
      <c r="K366" s="2535"/>
      <c r="L366" s="2535"/>
      <c r="M366" s="2535"/>
      <c r="N366" s="2535"/>
      <c r="O366" s="2535"/>
      <c r="P366" s="2535"/>
      <c r="Q366" s="2535"/>
      <c r="R366" s="2535"/>
      <c r="S366" s="2535"/>
      <c r="T366" s="2535"/>
      <c r="U366" s="2535"/>
      <c r="V366" s="2535"/>
      <c r="W366" s="2535"/>
      <c r="X366" s="2535"/>
      <c r="Y366" s="2535"/>
      <c r="Z366" s="2535"/>
      <c r="AA366" s="2535"/>
      <c r="AB366" s="2535"/>
      <c r="AC366" s="2535"/>
      <c r="AD366" s="2535"/>
      <c r="AE366" s="2535"/>
      <c r="AF366" s="2535"/>
      <c r="AG366" s="2535"/>
      <c r="AH366" s="2535"/>
      <c r="AI366" s="2535"/>
      <c r="AJ366" s="2535"/>
      <c r="AK366" s="603"/>
      <c r="AL366" s="603"/>
      <c r="AM366" s="603"/>
      <c r="AN366" s="597"/>
      <c r="AO366" s="699" t="s">
        <v>226</v>
      </c>
      <c r="AP366" s="700">
        <f>SUM(AP357:AP365)</f>
        <v>10</v>
      </c>
      <c r="AQ366" s="2536">
        <f>IF(AP366&gt;0,AP366,0)</f>
        <v>10</v>
      </c>
      <c r="AR366" s="2536"/>
    </row>
    <row r="367" spans="1:46" s="550" customFormat="1" ht="12.75" customHeight="1">
      <c r="A367" s="603"/>
      <c r="B367" s="611"/>
      <c r="C367" s="2535"/>
      <c r="D367" s="2535"/>
      <c r="E367" s="2535"/>
      <c r="F367" s="2535"/>
      <c r="G367" s="2535"/>
      <c r="H367" s="2535"/>
      <c r="I367" s="2535"/>
      <c r="J367" s="2535"/>
      <c r="K367" s="2535"/>
      <c r="L367" s="2535"/>
      <c r="M367" s="2535"/>
      <c r="N367" s="2535"/>
      <c r="O367" s="2535"/>
      <c r="P367" s="2535"/>
      <c r="Q367" s="2535"/>
      <c r="R367" s="2535"/>
      <c r="S367" s="2535"/>
      <c r="T367" s="2535"/>
      <c r="U367" s="2535"/>
      <c r="V367" s="2535"/>
      <c r="W367" s="2535"/>
      <c r="X367" s="2535"/>
      <c r="Y367" s="2535"/>
      <c r="Z367" s="2535"/>
      <c r="AA367" s="2535"/>
      <c r="AB367" s="2535"/>
      <c r="AC367" s="2535"/>
      <c r="AD367" s="2535"/>
      <c r="AE367" s="2535"/>
      <c r="AF367" s="2535"/>
      <c r="AG367" s="2535"/>
      <c r="AH367" s="2535"/>
      <c r="AI367" s="2535"/>
      <c r="AJ367" s="2535"/>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455</v>
      </c>
      <c r="AP368" s="696">
        <f>IF(C430="Yes",5,0)</f>
        <v>0</v>
      </c>
    </row>
    <row r="369" spans="1:81" s="550" customFormat="1" ht="12.75" customHeight="1">
      <c r="A369" s="603"/>
      <c r="B369" s="611"/>
      <c r="C369" s="2513" t="s">
        <v>1457</v>
      </c>
      <c r="D369" s="2513"/>
      <c r="E369" s="2513"/>
      <c r="F369" s="2513"/>
      <c r="G369" s="2513"/>
      <c r="H369" s="2513"/>
      <c r="I369" s="2513"/>
      <c r="J369" s="2513"/>
      <c r="K369" s="2513"/>
      <c r="L369" s="2513"/>
      <c r="M369" s="2513"/>
      <c r="N369" s="2513"/>
      <c r="O369" s="2513"/>
      <c r="P369" s="2513"/>
      <c r="Q369" s="2513"/>
      <c r="R369" s="2513"/>
      <c r="S369" s="2513"/>
      <c r="T369" s="2513"/>
      <c r="U369" s="2513"/>
      <c r="V369" s="2513"/>
      <c r="W369" s="2513"/>
      <c r="X369" s="2513"/>
      <c r="Y369" s="2513"/>
      <c r="Z369" s="2513"/>
      <c r="AA369" s="2513"/>
      <c r="AB369" s="2513"/>
      <c r="AC369" s="2513"/>
      <c r="AD369" s="2513"/>
      <c r="AE369" s="2513"/>
      <c r="AF369" s="2513"/>
      <c r="AG369" s="2513"/>
      <c r="AH369" s="2513"/>
      <c r="AI369" s="2513"/>
      <c r="AJ369" s="2513"/>
      <c r="AK369" s="603"/>
      <c r="AL369" s="603"/>
      <c r="AM369" s="603"/>
      <c r="AN369" s="597"/>
      <c r="AO369" s="695" t="s">
        <v>456</v>
      </c>
      <c r="AP369" s="696">
        <f>IF(C442="Yes",5,0)</f>
        <v>0</v>
      </c>
    </row>
    <row r="370" spans="1:81" s="550" customFormat="1" ht="12.75" customHeight="1">
      <c r="A370" s="603"/>
      <c r="B370" s="611"/>
      <c r="C370" s="2513"/>
      <c r="D370" s="2513"/>
      <c r="E370" s="2513"/>
      <c r="F370" s="2513"/>
      <c r="G370" s="2513"/>
      <c r="H370" s="2513"/>
      <c r="I370" s="2513"/>
      <c r="J370" s="2513"/>
      <c r="K370" s="2513"/>
      <c r="L370" s="2513"/>
      <c r="M370" s="2513"/>
      <c r="N370" s="2513"/>
      <c r="O370" s="2513"/>
      <c r="P370" s="2513"/>
      <c r="Q370" s="2513"/>
      <c r="R370" s="2513"/>
      <c r="S370" s="2513"/>
      <c r="T370" s="2513"/>
      <c r="U370" s="2513"/>
      <c r="V370" s="2513"/>
      <c r="W370" s="2513"/>
      <c r="X370" s="2513"/>
      <c r="Y370" s="2513"/>
      <c r="Z370" s="2513"/>
      <c r="AA370" s="2513"/>
      <c r="AB370" s="2513"/>
      <c r="AC370" s="2513"/>
      <c r="AD370" s="2513"/>
      <c r="AE370" s="2513"/>
      <c r="AF370" s="2513"/>
      <c r="AG370" s="2513"/>
      <c r="AH370" s="2513"/>
      <c r="AI370" s="2513"/>
      <c r="AJ370" s="2513"/>
      <c r="AK370" s="603"/>
      <c r="AL370" s="603"/>
      <c r="AM370" s="603"/>
      <c r="AN370" s="597"/>
      <c r="AO370" s="695" t="s">
        <v>461</v>
      </c>
      <c r="AP370" s="696">
        <f>IF(C449="Yes",5,0)</f>
        <v>0</v>
      </c>
    </row>
    <row r="371" spans="1:81" s="550" customFormat="1" ht="68.099999999999994" customHeight="1">
      <c r="A371" s="603"/>
      <c r="B371" s="611"/>
      <c r="C371" s="2513"/>
      <c r="D371" s="2513"/>
      <c r="E371" s="2513"/>
      <c r="F371" s="2513"/>
      <c r="G371" s="2513"/>
      <c r="H371" s="2513"/>
      <c r="I371" s="2513"/>
      <c r="J371" s="2513"/>
      <c r="K371" s="2513"/>
      <c r="L371" s="2513"/>
      <c r="M371" s="2513"/>
      <c r="N371" s="2513"/>
      <c r="O371" s="2513"/>
      <c r="P371" s="2513"/>
      <c r="Q371" s="2513"/>
      <c r="R371" s="2513"/>
      <c r="S371" s="2513"/>
      <c r="T371" s="2513"/>
      <c r="U371" s="2513"/>
      <c r="V371" s="2513"/>
      <c r="W371" s="2513"/>
      <c r="X371" s="2513"/>
      <c r="Y371" s="2513"/>
      <c r="Z371" s="2513"/>
      <c r="AA371" s="2513"/>
      <c r="AB371" s="2513"/>
      <c r="AC371" s="2513"/>
      <c r="AD371" s="2513"/>
      <c r="AE371" s="2513"/>
      <c r="AF371" s="2513"/>
      <c r="AG371" s="2513"/>
      <c r="AH371" s="2513"/>
      <c r="AI371" s="2513"/>
      <c r="AJ371" s="2513"/>
      <c r="AK371" s="603"/>
      <c r="AL371" s="603"/>
      <c r="AM371" s="603"/>
      <c r="AN371" s="597"/>
      <c r="AO371" s="695" t="s">
        <v>646</v>
      </c>
      <c r="AP371" s="701">
        <f>IF(C453="Yes",5,0)</f>
        <v>0</v>
      </c>
    </row>
    <row r="372" spans="1:81" s="550" customFormat="1" ht="12.4" customHeight="1">
      <c r="A372" s="603"/>
      <c r="B372" s="611"/>
      <c r="C372" s="550" t="s">
        <v>1458</v>
      </c>
      <c r="AF372" s="603"/>
      <c r="AG372" s="603"/>
      <c r="AH372" s="603"/>
      <c r="AI372" s="603"/>
      <c r="AJ372" s="603"/>
      <c r="AK372" s="603"/>
      <c r="AL372" s="603"/>
      <c r="AM372" s="603"/>
      <c r="AN372" s="597"/>
      <c r="AO372" s="695" t="s">
        <v>361</v>
      </c>
      <c r="AP372" s="696">
        <f>IF(C457="Yes",5,0)</f>
        <v>0</v>
      </c>
    </row>
    <row r="373" spans="1:81" s="550" customFormat="1" ht="12.75" customHeight="1">
      <c r="A373" s="603"/>
      <c r="B373" s="611"/>
      <c r="C373" s="702" t="s">
        <v>2210</v>
      </c>
      <c r="D373" s="703"/>
      <c r="E373" s="703"/>
      <c r="F373" s="703"/>
      <c r="G373" s="703"/>
      <c r="H373" s="703"/>
      <c r="I373" s="703"/>
      <c r="J373" s="703"/>
      <c r="K373" s="703"/>
      <c r="L373" s="703"/>
      <c r="M373" s="667"/>
      <c r="N373" s="667"/>
      <c r="O373" s="704"/>
      <c r="P373" s="703"/>
      <c r="Q373" s="703"/>
      <c r="R373" s="667"/>
      <c r="S373" s="667"/>
      <c r="T373" s="703"/>
      <c r="U373" s="2621">
        <f>Application!DU802-U374</f>
        <v>319</v>
      </c>
      <c r="V373" s="2621"/>
      <c r="W373" s="2621"/>
      <c r="X373" s="703"/>
      <c r="Y373" s="703"/>
      <c r="Z373" s="703"/>
      <c r="AA373" s="705"/>
      <c r="AB373" s="706"/>
      <c r="AC373" s="706"/>
      <c r="AD373" s="706"/>
      <c r="AE373" s="603"/>
      <c r="AF373" s="603"/>
      <c r="AG373" s="603"/>
      <c r="AH373" s="603"/>
      <c r="AI373" s="603"/>
      <c r="AJ373" s="603"/>
      <c r="AK373" s="603"/>
      <c r="AL373" s="603"/>
      <c r="AM373" s="603"/>
      <c r="AN373" s="597"/>
      <c r="AO373" s="695" t="s">
        <v>362</v>
      </c>
      <c r="AP373" s="696">
        <f>IF(C466="Yes",5,0)</f>
        <v>0</v>
      </c>
    </row>
    <row r="374" spans="1:81" s="550" customFormat="1" ht="12.75" customHeight="1">
      <c r="A374" s="603"/>
      <c r="B374" s="611"/>
      <c r="C374" s="707" t="s">
        <v>2211</v>
      </c>
      <c r="D374" s="694"/>
      <c r="E374" s="694"/>
      <c r="F374" s="694"/>
      <c r="G374" s="694"/>
      <c r="H374" s="694"/>
      <c r="I374" s="694"/>
      <c r="J374" s="694"/>
      <c r="K374" s="694"/>
      <c r="L374" s="694"/>
      <c r="M374" s="694"/>
      <c r="N374" s="694"/>
      <c r="O374" s="694"/>
      <c r="P374" s="694"/>
      <c r="Q374" s="694"/>
      <c r="R374" s="694"/>
      <c r="S374" s="694"/>
      <c r="T374" s="694"/>
      <c r="U374" s="2622">
        <f>IF(Application!D211="SRO",Application!DU755,Application!AG756)</f>
        <v>0</v>
      </c>
      <c r="V374" s="2622"/>
      <c r="W374" s="2622"/>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226</v>
      </c>
      <c r="AP375" s="711">
        <f>SUM(AP368:AP373)</f>
        <v>0</v>
      </c>
      <c r="AQ375" s="2536">
        <f>IF(AP375&gt;0,AP375,0)</f>
        <v>0</v>
      </c>
      <c r="AR375" s="2536"/>
    </row>
    <row r="376" spans="1:81" s="550" customFormat="1" ht="12.75" customHeight="1">
      <c r="A376" s="603"/>
      <c r="B376" s="14"/>
      <c r="C376" s="712" t="s">
        <v>2208</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1314</v>
      </c>
      <c r="F377" s="2517" t="s">
        <v>1459</v>
      </c>
      <c r="G377" s="2517"/>
      <c r="H377" s="2517"/>
      <c r="I377" s="2517"/>
      <c r="J377" s="2517"/>
      <c r="K377" s="2517"/>
      <c r="L377" s="2517"/>
      <c r="M377" s="2517"/>
      <c r="N377" s="2517"/>
      <c r="O377" s="2517"/>
      <c r="P377" s="2517"/>
      <c r="Q377" s="2517"/>
      <c r="R377" s="2517"/>
      <c r="S377" s="2517"/>
      <c r="T377" s="2517"/>
      <c r="U377" s="2517"/>
      <c r="V377" s="2517"/>
      <c r="W377" s="2517"/>
      <c r="X377" s="2517"/>
      <c r="Y377" s="2517"/>
      <c r="Z377" s="2517"/>
      <c r="AA377" s="2517"/>
      <c r="AB377" s="2517"/>
      <c r="AC377" s="2517"/>
      <c r="AD377" s="2517"/>
      <c r="AE377" s="2517"/>
      <c r="AF377" s="2517"/>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518"/>
      <c r="G378" s="2518"/>
      <c r="H378" s="2518"/>
      <c r="I378" s="2518"/>
      <c r="J378" s="2518"/>
      <c r="K378" s="2518"/>
      <c r="L378" s="2518"/>
      <c r="M378" s="2518"/>
      <c r="N378" s="2518"/>
      <c r="O378" s="2518"/>
      <c r="P378" s="2518"/>
      <c r="Q378" s="2518"/>
      <c r="R378" s="2518"/>
      <c r="S378" s="2518"/>
      <c r="T378" s="2518"/>
      <c r="U378" s="2518"/>
      <c r="V378" s="2518"/>
      <c r="W378" s="2518"/>
      <c r="X378" s="2518"/>
      <c r="Y378" s="2518"/>
      <c r="Z378" s="2518"/>
      <c r="AA378" s="2518"/>
      <c r="AB378" s="2518"/>
      <c r="AC378" s="2518"/>
      <c r="AD378" s="2518"/>
      <c r="AE378" s="2518"/>
      <c r="AF378" s="2518"/>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518"/>
      <c r="G379" s="2518"/>
      <c r="H379" s="2518"/>
      <c r="I379" s="2518"/>
      <c r="J379" s="2518"/>
      <c r="K379" s="2518"/>
      <c r="L379" s="2518"/>
      <c r="M379" s="2518"/>
      <c r="N379" s="2518"/>
      <c r="O379" s="2518"/>
      <c r="P379" s="2518"/>
      <c r="Q379" s="2518"/>
      <c r="R379" s="2518"/>
      <c r="S379" s="2518"/>
      <c r="T379" s="2518"/>
      <c r="U379" s="2518"/>
      <c r="V379" s="2518"/>
      <c r="W379" s="2518"/>
      <c r="X379" s="2518"/>
      <c r="Y379" s="2518"/>
      <c r="Z379" s="2518"/>
      <c r="AA379" s="2518"/>
      <c r="AB379" s="2518"/>
      <c r="AC379" s="2518"/>
      <c r="AD379" s="2518"/>
      <c r="AE379" s="2518"/>
      <c r="AF379" s="2518"/>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518"/>
      <c r="G380" s="2518"/>
      <c r="H380" s="2518"/>
      <c r="I380" s="2518"/>
      <c r="J380" s="2518"/>
      <c r="K380" s="2518"/>
      <c r="L380" s="2518"/>
      <c r="M380" s="2518"/>
      <c r="N380" s="2518"/>
      <c r="O380" s="2518"/>
      <c r="P380" s="2518"/>
      <c r="Q380" s="2518"/>
      <c r="R380" s="2518"/>
      <c r="S380" s="2518"/>
      <c r="T380" s="2518"/>
      <c r="U380" s="2518"/>
      <c r="V380" s="2518"/>
      <c r="W380" s="2518"/>
      <c r="X380" s="2518"/>
      <c r="Y380" s="2518"/>
      <c r="Z380" s="2518"/>
      <c r="AA380" s="2518"/>
      <c r="AB380" s="2518"/>
      <c r="AC380" s="2518"/>
      <c r="AD380" s="2518"/>
      <c r="AE380" s="2518"/>
      <c r="AF380" s="2518"/>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514" t="s">
        <v>591</v>
      </c>
      <c r="D381" s="2471"/>
      <c r="E381" s="719"/>
      <c r="F381" s="721" t="s">
        <v>1460</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515" t="s">
        <v>1461</v>
      </c>
      <c r="AG381" s="2515"/>
      <c r="AH381" s="2515"/>
      <c r="AI381" s="2515"/>
      <c r="AJ381" s="2515"/>
      <c r="AK381" s="2515"/>
      <c r="AL381" s="2516"/>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1316</v>
      </c>
      <c r="F384" s="2517" t="s">
        <v>1462</v>
      </c>
      <c r="G384" s="2517"/>
      <c r="H384" s="2517"/>
      <c r="I384" s="2517"/>
      <c r="J384" s="2517"/>
      <c r="K384" s="2517"/>
      <c r="L384" s="2517"/>
      <c r="M384" s="2517"/>
      <c r="N384" s="2517"/>
      <c r="O384" s="2517"/>
      <c r="P384" s="2517"/>
      <c r="Q384" s="2517"/>
      <c r="R384" s="2517"/>
      <c r="S384" s="2517"/>
      <c r="T384" s="2517"/>
      <c r="U384" s="2517"/>
      <c r="V384" s="2517"/>
      <c r="W384" s="2517"/>
      <c r="X384" s="2517"/>
      <c r="Y384" s="2517"/>
      <c r="Z384" s="2517"/>
      <c r="AA384" s="2517"/>
      <c r="AB384" s="2517"/>
      <c r="AC384" s="2517"/>
      <c r="AD384" s="2517"/>
      <c r="AE384" s="2517"/>
      <c r="AF384" s="2517"/>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518"/>
      <c r="G385" s="2518"/>
      <c r="H385" s="2518"/>
      <c r="I385" s="2518"/>
      <c r="J385" s="2518"/>
      <c r="K385" s="2518"/>
      <c r="L385" s="2518"/>
      <c r="M385" s="2518"/>
      <c r="N385" s="2518"/>
      <c r="O385" s="2518"/>
      <c r="P385" s="2518"/>
      <c r="Q385" s="2518"/>
      <c r="R385" s="2518"/>
      <c r="S385" s="2518"/>
      <c r="T385" s="2518"/>
      <c r="U385" s="2518"/>
      <c r="V385" s="2518"/>
      <c r="W385" s="2518"/>
      <c r="X385" s="2518"/>
      <c r="Y385" s="2518"/>
      <c r="Z385" s="2518"/>
      <c r="AA385" s="2518"/>
      <c r="AB385" s="2518"/>
      <c r="AC385" s="2518"/>
      <c r="AD385" s="2518"/>
      <c r="AE385" s="2518"/>
      <c r="AF385" s="2518"/>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518"/>
      <c r="G386" s="2518"/>
      <c r="H386" s="2518"/>
      <c r="I386" s="2518"/>
      <c r="J386" s="2518"/>
      <c r="K386" s="2518"/>
      <c r="L386" s="2518"/>
      <c r="M386" s="2518"/>
      <c r="N386" s="2518"/>
      <c r="O386" s="2518"/>
      <c r="P386" s="2518"/>
      <c r="Q386" s="2518"/>
      <c r="R386" s="2518"/>
      <c r="S386" s="2518"/>
      <c r="T386" s="2518"/>
      <c r="U386" s="2518"/>
      <c r="V386" s="2518"/>
      <c r="W386" s="2518"/>
      <c r="X386" s="2518"/>
      <c r="Y386" s="2518"/>
      <c r="Z386" s="2518"/>
      <c r="AA386" s="2518"/>
      <c r="AB386" s="2518"/>
      <c r="AC386" s="2518"/>
      <c r="AD386" s="2518"/>
      <c r="AE386" s="2518"/>
      <c r="AF386" s="2518"/>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518"/>
      <c r="G387" s="2518"/>
      <c r="H387" s="2518"/>
      <c r="I387" s="2518"/>
      <c r="J387" s="2518"/>
      <c r="K387" s="2518"/>
      <c r="L387" s="2518"/>
      <c r="M387" s="2518"/>
      <c r="N387" s="2518"/>
      <c r="O387" s="2518"/>
      <c r="P387" s="2518"/>
      <c r="Q387" s="2518"/>
      <c r="R387" s="2518"/>
      <c r="S387" s="2518"/>
      <c r="T387" s="2518"/>
      <c r="U387" s="2518"/>
      <c r="V387" s="2518"/>
      <c r="W387" s="2518"/>
      <c r="X387" s="2518"/>
      <c r="Y387" s="2518"/>
      <c r="Z387" s="2518"/>
      <c r="AA387" s="2518"/>
      <c r="AB387" s="2518"/>
      <c r="AC387" s="2518"/>
      <c r="AD387" s="2518"/>
      <c r="AE387" s="2518"/>
      <c r="AF387" s="2518"/>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518"/>
      <c r="G388" s="2518"/>
      <c r="H388" s="2518"/>
      <c r="I388" s="2518"/>
      <c r="J388" s="2518"/>
      <c r="K388" s="2518"/>
      <c r="L388" s="2518"/>
      <c r="M388" s="2518"/>
      <c r="N388" s="2518"/>
      <c r="O388" s="2518"/>
      <c r="P388" s="2518"/>
      <c r="Q388" s="2518"/>
      <c r="R388" s="2518"/>
      <c r="S388" s="2518"/>
      <c r="T388" s="2518"/>
      <c r="U388" s="2518"/>
      <c r="V388" s="2518"/>
      <c r="W388" s="2518"/>
      <c r="X388" s="2518"/>
      <c r="Y388" s="2518"/>
      <c r="Z388" s="2518"/>
      <c r="AA388" s="2518"/>
      <c r="AB388" s="2518"/>
      <c r="AC388" s="2518"/>
      <c r="AD388" s="2518"/>
      <c r="AE388" s="2518"/>
      <c r="AF388" s="2518"/>
      <c r="AL388" s="732"/>
      <c r="AN388" s="597"/>
      <c r="BS388" s="30"/>
      <c r="BT388" s="30"/>
      <c r="BU388" s="14"/>
      <c r="BV388" s="14"/>
      <c r="BW388" s="14"/>
      <c r="BX388" s="14"/>
      <c r="BY388" s="14"/>
      <c r="BZ388" s="14"/>
      <c r="CA388" s="14"/>
      <c r="CB388" s="14"/>
      <c r="CC388" s="14"/>
    </row>
    <row r="389" spans="1:81" s="550" customFormat="1" ht="12.75" customHeight="1">
      <c r="A389" s="536"/>
      <c r="B389" s="14"/>
      <c r="C389" s="2514" t="s">
        <v>591</v>
      </c>
      <c r="D389" s="2471"/>
      <c r="E389" s="691"/>
      <c r="F389" s="721" t="s">
        <v>1463</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515" t="s">
        <v>1461</v>
      </c>
      <c r="AG389" s="2515"/>
      <c r="AH389" s="2515"/>
      <c r="AI389" s="2515"/>
      <c r="AJ389" s="2515"/>
      <c r="AK389" s="2515"/>
      <c r="AL389" s="2516"/>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1319</v>
      </c>
      <c r="F392" s="2517" t="s">
        <v>1464</v>
      </c>
      <c r="G392" s="2517"/>
      <c r="H392" s="2517"/>
      <c r="I392" s="2517"/>
      <c r="J392" s="2517"/>
      <c r="K392" s="2517"/>
      <c r="L392" s="2517"/>
      <c r="M392" s="2517"/>
      <c r="N392" s="2517"/>
      <c r="O392" s="2517"/>
      <c r="P392" s="2517"/>
      <c r="Q392" s="2517"/>
      <c r="R392" s="2517"/>
      <c r="S392" s="2517"/>
      <c r="T392" s="2517"/>
      <c r="U392" s="2517"/>
      <c r="V392" s="2517"/>
      <c r="W392" s="2517"/>
      <c r="X392" s="2517"/>
      <c r="Y392" s="2517"/>
      <c r="Z392" s="2517"/>
      <c r="AA392" s="2517"/>
      <c r="AB392" s="2517"/>
      <c r="AC392" s="2517"/>
      <c r="AD392" s="2517"/>
      <c r="AE392" s="2517"/>
      <c r="AF392" s="2517"/>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518"/>
      <c r="G393" s="2518"/>
      <c r="H393" s="2518"/>
      <c r="I393" s="2518"/>
      <c r="J393" s="2518"/>
      <c r="K393" s="2518"/>
      <c r="L393" s="2518"/>
      <c r="M393" s="2518"/>
      <c r="N393" s="2518"/>
      <c r="O393" s="2518"/>
      <c r="P393" s="2518"/>
      <c r="Q393" s="2518"/>
      <c r="R393" s="2518"/>
      <c r="S393" s="2518"/>
      <c r="T393" s="2518"/>
      <c r="U393" s="2518"/>
      <c r="V393" s="2518"/>
      <c r="W393" s="2518"/>
      <c r="X393" s="2518"/>
      <c r="Y393" s="2518"/>
      <c r="Z393" s="2518"/>
      <c r="AA393" s="2518"/>
      <c r="AB393" s="2518"/>
      <c r="AC393" s="2518"/>
      <c r="AD393" s="2518"/>
      <c r="AE393" s="2518"/>
      <c r="AF393" s="2518"/>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518"/>
      <c r="G394" s="2518"/>
      <c r="H394" s="2518"/>
      <c r="I394" s="2518"/>
      <c r="J394" s="2518"/>
      <c r="K394" s="2518"/>
      <c r="L394" s="2518"/>
      <c r="M394" s="2518"/>
      <c r="N394" s="2518"/>
      <c r="O394" s="2518"/>
      <c r="P394" s="2518"/>
      <c r="Q394" s="2518"/>
      <c r="R394" s="2518"/>
      <c r="S394" s="2518"/>
      <c r="T394" s="2518"/>
      <c r="U394" s="2518"/>
      <c r="V394" s="2518"/>
      <c r="W394" s="2518"/>
      <c r="X394" s="2518"/>
      <c r="Y394" s="2518"/>
      <c r="Z394" s="2518"/>
      <c r="AA394" s="2518"/>
      <c r="AB394" s="2518"/>
      <c r="AC394" s="2518"/>
      <c r="AD394" s="2518"/>
      <c r="AE394" s="2518"/>
      <c r="AF394" s="2518"/>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518"/>
      <c r="G395" s="2518"/>
      <c r="H395" s="2518"/>
      <c r="I395" s="2518"/>
      <c r="J395" s="2518"/>
      <c r="K395" s="2518"/>
      <c r="L395" s="2518"/>
      <c r="M395" s="2518"/>
      <c r="N395" s="2518"/>
      <c r="O395" s="2518"/>
      <c r="P395" s="2518"/>
      <c r="Q395" s="2518"/>
      <c r="R395" s="2518"/>
      <c r="S395" s="2518"/>
      <c r="T395" s="2518"/>
      <c r="U395" s="2518"/>
      <c r="V395" s="2518"/>
      <c r="W395" s="2518"/>
      <c r="X395" s="2518"/>
      <c r="Y395" s="2518"/>
      <c r="Z395" s="2518"/>
      <c r="AA395" s="2518"/>
      <c r="AB395" s="2518"/>
      <c r="AC395" s="2518"/>
      <c r="AD395" s="2518"/>
      <c r="AE395" s="2518"/>
      <c r="AF395" s="2518"/>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518"/>
      <c r="G396" s="2518"/>
      <c r="H396" s="2518"/>
      <c r="I396" s="2518"/>
      <c r="J396" s="2518"/>
      <c r="K396" s="2518"/>
      <c r="L396" s="2518"/>
      <c r="M396" s="2518"/>
      <c r="N396" s="2518"/>
      <c r="O396" s="2518"/>
      <c r="P396" s="2518"/>
      <c r="Q396" s="2518"/>
      <c r="R396" s="2518"/>
      <c r="S396" s="2518"/>
      <c r="T396" s="2518"/>
      <c r="U396" s="2518"/>
      <c r="V396" s="2518"/>
      <c r="W396" s="2518"/>
      <c r="X396" s="2518"/>
      <c r="Y396" s="2518"/>
      <c r="Z396" s="2518"/>
      <c r="AA396" s="2518"/>
      <c r="AB396" s="2518"/>
      <c r="AC396" s="2518"/>
      <c r="AD396" s="2518"/>
      <c r="AE396" s="2518"/>
      <c r="AF396" s="2518"/>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514" t="s">
        <v>545</v>
      </c>
      <c r="D397" s="2471"/>
      <c r="E397" s="691"/>
      <c r="F397" s="721" t="s">
        <v>1465</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515" t="s">
        <v>1466</v>
      </c>
      <c r="AG397" s="2515"/>
      <c r="AH397" s="2515"/>
      <c r="AI397" s="2515"/>
      <c r="AJ397" s="2515"/>
      <c r="AK397" s="2515"/>
      <c r="AL397" s="2516"/>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514" t="s">
        <v>591</v>
      </c>
      <c r="D399" s="2471"/>
      <c r="E399" s="691"/>
      <c r="F399" s="738" t="s">
        <v>1467</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515" t="s">
        <v>1461</v>
      </c>
      <c r="AG399" s="2515"/>
      <c r="AH399" s="2515"/>
      <c r="AI399" s="2515"/>
      <c r="AJ399" s="2515"/>
      <c r="AK399" s="2515"/>
      <c r="AL399" s="2516"/>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1468</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1469</v>
      </c>
      <c r="F403" s="2517" t="s">
        <v>1470</v>
      </c>
      <c r="G403" s="2517"/>
      <c r="H403" s="2517"/>
      <c r="I403" s="2517"/>
      <c r="J403" s="2517"/>
      <c r="K403" s="2517"/>
      <c r="L403" s="2517"/>
      <c r="M403" s="2517"/>
      <c r="N403" s="2517"/>
      <c r="O403" s="2517"/>
      <c r="P403" s="2517"/>
      <c r="Q403" s="2517"/>
      <c r="R403" s="2517"/>
      <c r="S403" s="2517"/>
      <c r="T403" s="2517"/>
      <c r="U403" s="2517"/>
      <c r="V403" s="2517"/>
      <c r="W403" s="2517"/>
      <c r="X403" s="2517"/>
      <c r="Y403" s="2517"/>
      <c r="Z403" s="2517"/>
      <c r="AA403" s="2517"/>
      <c r="AB403" s="2517"/>
      <c r="AC403" s="2517"/>
      <c r="AD403" s="2517"/>
      <c r="AE403" s="2517"/>
      <c r="AF403" s="2517"/>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518"/>
      <c r="G404" s="2518"/>
      <c r="H404" s="2518"/>
      <c r="I404" s="2518"/>
      <c r="J404" s="2518"/>
      <c r="K404" s="2518"/>
      <c r="L404" s="2518"/>
      <c r="M404" s="2518"/>
      <c r="N404" s="2518"/>
      <c r="O404" s="2518"/>
      <c r="P404" s="2518"/>
      <c r="Q404" s="2518"/>
      <c r="R404" s="2518"/>
      <c r="S404" s="2518"/>
      <c r="T404" s="2518"/>
      <c r="U404" s="2518"/>
      <c r="V404" s="2518"/>
      <c r="W404" s="2518"/>
      <c r="X404" s="2518"/>
      <c r="Y404" s="2518"/>
      <c r="Z404" s="2518"/>
      <c r="AA404" s="2518"/>
      <c r="AB404" s="2518"/>
      <c r="AC404" s="2518"/>
      <c r="AD404" s="2518"/>
      <c r="AE404" s="2518"/>
      <c r="AF404" s="2518"/>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518"/>
      <c r="G405" s="2518"/>
      <c r="H405" s="2518"/>
      <c r="I405" s="2518"/>
      <c r="J405" s="2518"/>
      <c r="K405" s="2518"/>
      <c r="L405" s="2518"/>
      <c r="M405" s="2518"/>
      <c r="N405" s="2518"/>
      <c r="O405" s="2518"/>
      <c r="P405" s="2518"/>
      <c r="Q405" s="2518"/>
      <c r="R405" s="2518"/>
      <c r="S405" s="2518"/>
      <c r="T405" s="2518"/>
      <c r="U405" s="2518"/>
      <c r="V405" s="2518"/>
      <c r="W405" s="2518"/>
      <c r="X405" s="2518"/>
      <c r="Y405" s="2518"/>
      <c r="Z405" s="2518"/>
      <c r="AA405" s="2518"/>
      <c r="AB405" s="2518"/>
      <c r="AC405" s="2518"/>
      <c r="AD405" s="2518"/>
      <c r="AE405" s="2518"/>
      <c r="AF405" s="2518"/>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518"/>
      <c r="G406" s="2518"/>
      <c r="H406" s="2518"/>
      <c r="I406" s="2518"/>
      <c r="J406" s="2518"/>
      <c r="K406" s="2518"/>
      <c r="L406" s="2518"/>
      <c r="M406" s="2518"/>
      <c r="N406" s="2518"/>
      <c r="O406" s="2518"/>
      <c r="P406" s="2518"/>
      <c r="Q406" s="2518"/>
      <c r="R406" s="2518"/>
      <c r="S406" s="2518"/>
      <c r="T406" s="2518"/>
      <c r="U406" s="2518"/>
      <c r="V406" s="2518"/>
      <c r="W406" s="2518"/>
      <c r="X406" s="2518"/>
      <c r="Y406" s="2518"/>
      <c r="Z406" s="2518"/>
      <c r="AA406" s="2518"/>
      <c r="AB406" s="2518"/>
      <c r="AC406" s="2518"/>
      <c r="AD406" s="2518"/>
      <c r="AE406" s="2518"/>
      <c r="AF406" s="2518"/>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514" t="s">
        <v>591</v>
      </c>
      <c r="D407" s="2471"/>
      <c r="E407" s="691"/>
      <c r="F407" s="721" t="s">
        <v>1471</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515" t="s">
        <v>1461</v>
      </c>
      <c r="AG407" s="2515"/>
      <c r="AH407" s="2515"/>
      <c r="AI407" s="2515"/>
      <c r="AJ407" s="2515"/>
      <c r="AK407" s="2515"/>
      <c r="AL407" s="2516"/>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514" t="s">
        <v>545</v>
      </c>
      <c r="D409" s="2471"/>
      <c r="E409" s="719"/>
      <c r="F409" s="721" t="s">
        <v>1472</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515" t="s">
        <v>1473</v>
      </c>
      <c r="AG409" s="2515"/>
      <c r="AH409" s="2515"/>
      <c r="AI409" s="2515"/>
      <c r="AJ409" s="2515"/>
      <c r="AK409" s="2515"/>
      <c r="AL409" s="2516"/>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514" t="s">
        <v>591</v>
      </c>
      <c r="D412" s="2471"/>
      <c r="E412" s="715" t="s">
        <v>1474</v>
      </c>
      <c r="F412" s="2517" t="s">
        <v>1475</v>
      </c>
      <c r="G412" s="2517"/>
      <c r="H412" s="2517"/>
      <c r="I412" s="2517"/>
      <c r="J412" s="2517"/>
      <c r="K412" s="2517"/>
      <c r="L412" s="2517"/>
      <c r="M412" s="2517"/>
      <c r="N412" s="2517"/>
      <c r="O412" s="2517"/>
      <c r="P412" s="2517"/>
      <c r="Q412" s="2517"/>
      <c r="R412" s="2517"/>
      <c r="S412" s="2517"/>
      <c r="T412" s="2517"/>
      <c r="U412" s="2517"/>
      <c r="V412" s="2517"/>
      <c r="W412" s="2517"/>
      <c r="X412" s="2517"/>
      <c r="Y412" s="2517"/>
      <c r="Z412" s="2517"/>
      <c r="AA412" s="2517"/>
      <c r="AB412" s="2517"/>
      <c r="AC412" s="2517"/>
      <c r="AD412" s="2517"/>
      <c r="AE412" s="2517"/>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518"/>
      <c r="G413" s="2518"/>
      <c r="H413" s="2518"/>
      <c r="I413" s="2518"/>
      <c r="J413" s="2518"/>
      <c r="K413" s="2518"/>
      <c r="L413" s="2518"/>
      <c r="M413" s="2518"/>
      <c r="N413" s="2518"/>
      <c r="O413" s="2518"/>
      <c r="P413" s="2518"/>
      <c r="Q413" s="2518"/>
      <c r="R413" s="2518"/>
      <c r="S413" s="2518"/>
      <c r="T413" s="2518"/>
      <c r="U413" s="2518"/>
      <c r="V413" s="2518"/>
      <c r="W413" s="2518"/>
      <c r="X413" s="2518"/>
      <c r="Y413" s="2518"/>
      <c r="Z413" s="2518"/>
      <c r="AA413" s="2518"/>
      <c r="AB413" s="2518"/>
      <c r="AC413" s="2518"/>
      <c r="AD413" s="2518"/>
      <c r="AE413" s="2518"/>
      <c r="AF413" s="2439" t="s">
        <v>1461</v>
      </c>
      <c r="AG413" s="2439"/>
      <c r="AH413" s="2439"/>
      <c r="AI413" s="2439"/>
      <c r="AJ413" s="2439"/>
      <c r="AK413" s="2439"/>
      <c r="AL413" s="2519"/>
      <c r="AM413" s="570"/>
      <c r="AN413" s="597"/>
      <c r="BS413" s="570"/>
      <c r="BT413" s="570"/>
      <c r="BY413" s="570"/>
      <c r="BZ413" s="570"/>
      <c r="CA413" s="570"/>
      <c r="CB413" s="570"/>
      <c r="CC413" s="570"/>
    </row>
    <row r="414" spans="1:81" s="550" customFormat="1" ht="12.75" customHeight="1">
      <c r="A414" s="536"/>
      <c r="B414" s="14"/>
      <c r="C414" s="731"/>
      <c r="D414" s="14"/>
      <c r="E414" s="691"/>
      <c r="F414" s="2518"/>
      <c r="G414" s="2518"/>
      <c r="H414" s="2518"/>
      <c r="I414" s="2518"/>
      <c r="J414" s="2518"/>
      <c r="K414" s="2518"/>
      <c r="L414" s="2518"/>
      <c r="M414" s="2518"/>
      <c r="N414" s="2518"/>
      <c r="O414" s="2518"/>
      <c r="P414" s="2518"/>
      <c r="Q414" s="2518"/>
      <c r="R414" s="2518"/>
      <c r="S414" s="2518"/>
      <c r="T414" s="2518"/>
      <c r="U414" s="2518"/>
      <c r="V414" s="2518"/>
      <c r="W414" s="2518"/>
      <c r="X414" s="2518"/>
      <c r="Y414" s="2518"/>
      <c r="Z414" s="2518"/>
      <c r="AA414" s="2518"/>
      <c r="AB414" s="2518"/>
      <c r="AC414" s="2518"/>
      <c r="AD414" s="2518"/>
      <c r="AE414" s="2518"/>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537"/>
      <c r="G415" s="2537"/>
      <c r="H415" s="2537"/>
      <c r="I415" s="2537"/>
      <c r="J415" s="2537"/>
      <c r="K415" s="2537"/>
      <c r="L415" s="2537"/>
      <c r="M415" s="2537"/>
      <c r="N415" s="2537"/>
      <c r="O415" s="2537"/>
      <c r="P415" s="2537"/>
      <c r="Q415" s="2537"/>
      <c r="R415" s="2537"/>
      <c r="S415" s="2537"/>
      <c r="T415" s="2537"/>
      <c r="U415" s="2537"/>
      <c r="V415" s="2537"/>
      <c r="W415" s="2537"/>
      <c r="X415" s="2537"/>
      <c r="Y415" s="2537"/>
      <c r="Z415" s="2537"/>
      <c r="AA415" s="2537"/>
      <c r="AB415" s="2537"/>
      <c r="AC415" s="2537"/>
      <c r="AD415" s="2537"/>
      <c r="AE415" s="2537"/>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1476</v>
      </c>
      <c r="F417" s="2517" t="s">
        <v>1477</v>
      </c>
      <c r="G417" s="2517"/>
      <c r="H417" s="2517"/>
      <c r="I417" s="2517"/>
      <c r="J417" s="2517"/>
      <c r="K417" s="2517"/>
      <c r="L417" s="2517"/>
      <c r="M417" s="2517"/>
      <c r="N417" s="2517"/>
      <c r="O417" s="2517"/>
      <c r="P417" s="2517"/>
      <c r="Q417" s="2517"/>
      <c r="R417" s="2517"/>
      <c r="S417" s="2517"/>
      <c r="T417" s="2517"/>
      <c r="U417" s="2517"/>
      <c r="V417" s="2517"/>
      <c r="W417" s="2517"/>
      <c r="X417" s="2517"/>
      <c r="Y417" s="2517"/>
      <c r="Z417" s="2517"/>
      <c r="AA417" s="2517"/>
      <c r="AB417" s="2517"/>
      <c r="AC417" s="2517"/>
      <c r="AD417" s="2517"/>
      <c r="AE417" s="2517"/>
      <c r="AF417" s="747"/>
      <c r="AG417" s="747"/>
      <c r="AH417" s="747"/>
      <c r="AI417" s="747"/>
      <c r="AJ417" s="747"/>
      <c r="AK417" s="747"/>
      <c r="AL417" s="748"/>
      <c r="AM417" s="570"/>
    </row>
    <row r="418" spans="1:55">
      <c r="A418" s="536"/>
      <c r="C418" s="731"/>
      <c r="E418" s="691"/>
      <c r="F418" s="2518"/>
      <c r="G418" s="2518"/>
      <c r="H418" s="2518"/>
      <c r="I418" s="2518"/>
      <c r="J418" s="2518"/>
      <c r="K418" s="2518"/>
      <c r="L418" s="2518"/>
      <c r="M418" s="2518"/>
      <c r="N418" s="2518"/>
      <c r="O418" s="2518"/>
      <c r="P418" s="2518"/>
      <c r="Q418" s="2518"/>
      <c r="R418" s="2518"/>
      <c r="S418" s="2518"/>
      <c r="T418" s="2518"/>
      <c r="U418" s="2518"/>
      <c r="V418" s="2518"/>
      <c r="W418" s="2518"/>
      <c r="X418" s="2518"/>
      <c r="Y418" s="2518"/>
      <c r="Z418" s="2518"/>
      <c r="AA418" s="2518"/>
      <c r="AB418" s="2518"/>
      <c r="AC418" s="2518"/>
      <c r="AD418" s="2518"/>
      <c r="AE418" s="2518"/>
      <c r="AF418" s="539"/>
      <c r="AG418" s="536"/>
      <c r="AH418" s="550"/>
      <c r="AI418" s="550"/>
      <c r="AJ418" s="550"/>
      <c r="AK418" s="550"/>
      <c r="AL418" s="732"/>
      <c r="AM418" s="570"/>
    </row>
    <row r="419" spans="1:55" s="550" customFormat="1" ht="12.75" customHeight="1">
      <c r="A419" s="536"/>
      <c r="B419" s="14"/>
      <c r="C419" s="731"/>
      <c r="D419" s="14"/>
      <c r="E419" s="691"/>
      <c r="F419" s="2518"/>
      <c r="G419" s="2518"/>
      <c r="H419" s="2518"/>
      <c r="I419" s="2518"/>
      <c r="J419" s="2518"/>
      <c r="K419" s="2518"/>
      <c r="L419" s="2518"/>
      <c r="M419" s="2518"/>
      <c r="N419" s="2518"/>
      <c r="O419" s="2518"/>
      <c r="P419" s="2518"/>
      <c r="Q419" s="2518"/>
      <c r="R419" s="2518"/>
      <c r="S419" s="2518"/>
      <c r="T419" s="2518"/>
      <c r="U419" s="2518"/>
      <c r="V419" s="2518"/>
      <c r="W419" s="2518"/>
      <c r="X419" s="2518"/>
      <c r="Y419" s="2518"/>
      <c r="Z419" s="2518"/>
      <c r="AA419" s="2518"/>
      <c r="AB419" s="2518"/>
      <c r="AC419" s="2518"/>
      <c r="AD419" s="2518"/>
      <c r="AE419" s="2518"/>
      <c r="AL419" s="732"/>
      <c r="AM419" s="570"/>
      <c r="AN419" s="597"/>
    </row>
    <row r="420" spans="1:55" s="550" customFormat="1" ht="12.75" customHeight="1">
      <c r="A420" s="536"/>
      <c r="B420" s="14"/>
      <c r="C420" s="739"/>
      <c r="F420" s="2518"/>
      <c r="G420" s="2518"/>
      <c r="H420" s="2518"/>
      <c r="I420" s="2518"/>
      <c r="J420" s="2518"/>
      <c r="K420" s="2518"/>
      <c r="L420" s="2518"/>
      <c r="M420" s="2518"/>
      <c r="N420" s="2518"/>
      <c r="O420" s="2518"/>
      <c r="P420" s="2518"/>
      <c r="Q420" s="2518"/>
      <c r="R420" s="2518"/>
      <c r="S420" s="2518"/>
      <c r="T420" s="2518"/>
      <c r="U420" s="2518"/>
      <c r="V420" s="2518"/>
      <c r="W420" s="2518"/>
      <c r="X420" s="2518"/>
      <c r="Y420" s="2518"/>
      <c r="Z420" s="2518"/>
      <c r="AA420" s="2518"/>
      <c r="AB420" s="2518"/>
      <c r="AC420" s="2518"/>
      <c r="AD420" s="2518"/>
      <c r="AE420" s="2518"/>
      <c r="AL420" s="732"/>
      <c r="AM420" s="570"/>
      <c r="AN420" s="597"/>
    </row>
    <row r="421" spans="1:55" s="550" customFormat="1" ht="12.75" customHeight="1">
      <c r="A421" s="536"/>
      <c r="B421" s="14"/>
      <c r="C421" s="2514" t="s">
        <v>591</v>
      </c>
      <c r="D421" s="2471"/>
      <c r="E421" s="691"/>
      <c r="F421" s="721" t="s">
        <v>1478</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439" t="s">
        <v>1461</v>
      </c>
      <c r="AG421" s="2439"/>
      <c r="AH421" s="2439"/>
      <c r="AI421" s="2439"/>
      <c r="AJ421" s="2439"/>
      <c r="AK421" s="2439"/>
      <c r="AL421" s="2519"/>
      <c r="AM421" s="570"/>
      <c r="AN421" s="597"/>
    </row>
    <row r="422" spans="1:55" s="550" customFormat="1" ht="12.75" customHeight="1">
      <c r="A422" s="536"/>
      <c r="B422" s="14"/>
      <c r="C422" s="739"/>
      <c r="AL422" s="732"/>
      <c r="AM422" s="570"/>
      <c r="AN422" s="597"/>
    </row>
    <row r="423" spans="1:55" s="550" customFormat="1" ht="12.75" customHeight="1">
      <c r="A423" s="536"/>
      <c r="B423" s="14"/>
      <c r="C423" s="2514" t="s">
        <v>591</v>
      </c>
      <c r="D423" s="2471"/>
      <c r="E423" s="719"/>
      <c r="F423" s="721" t="s">
        <v>1479</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439" t="s">
        <v>1473</v>
      </c>
      <c r="AG423" s="2439"/>
      <c r="AH423" s="2439"/>
      <c r="AI423" s="2439"/>
      <c r="AJ423" s="2439"/>
      <c r="AK423" s="2439"/>
      <c r="AL423" s="2519"/>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2209</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1480</v>
      </c>
      <c r="F427" s="2517" t="s">
        <v>1481</v>
      </c>
      <c r="G427" s="2517"/>
      <c r="H427" s="2517"/>
      <c r="I427" s="2517"/>
      <c r="J427" s="2517"/>
      <c r="K427" s="2517"/>
      <c r="L427" s="2517"/>
      <c r="M427" s="2517"/>
      <c r="N427" s="2517"/>
      <c r="O427" s="2517"/>
      <c r="P427" s="2517"/>
      <c r="Q427" s="2517"/>
      <c r="R427" s="2517"/>
      <c r="S427" s="2517"/>
      <c r="T427" s="2517"/>
      <c r="U427" s="2517"/>
      <c r="V427" s="2517"/>
      <c r="W427" s="2517"/>
      <c r="X427" s="2517"/>
      <c r="Y427" s="2517"/>
      <c r="Z427" s="2517"/>
      <c r="AA427" s="2517"/>
      <c r="AB427" s="2517"/>
      <c r="AC427" s="2517"/>
      <c r="AD427" s="2517"/>
      <c r="AE427" s="2517"/>
      <c r="AF427" s="714"/>
      <c r="AG427" s="714"/>
      <c r="AH427" s="714"/>
      <c r="AI427" s="714"/>
      <c r="AJ427" s="714"/>
      <c r="AK427" s="714"/>
      <c r="AL427" s="745"/>
      <c r="AM427" s="570"/>
      <c r="AN427" s="597"/>
    </row>
    <row r="428" spans="1:55" s="550" customFormat="1" ht="12.75" customHeight="1">
      <c r="A428" s="536"/>
      <c r="B428" s="14"/>
      <c r="C428" s="731"/>
      <c r="D428" s="14"/>
      <c r="E428" s="691"/>
      <c r="F428" s="2518"/>
      <c r="G428" s="2518"/>
      <c r="H428" s="2518"/>
      <c r="I428" s="2518"/>
      <c r="J428" s="2518"/>
      <c r="K428" s="2518"/>
      <c r="L428" s="2518"/>
      <c r="M428" s="2518"/>
      <c r="N428" s="2518"/>
      <c r="O428" s="2518"/>
      <c r="P428" s="2518"/>
      <c r="Q428" s="2518"/>
      <c r="R428" s="2518"/>
      <c r="S428" s="2518"/>
      <c r="T428" s="2518"/>
      <c r="U428" s="2518"/>
      <c r="V428" s="2518"/>
      <c r="W428" s="2518"/>
      <c r="X428" s="2518"/>
      <c r="Y428" s="2518"/>
      <c r="Z428" s="2518"/>
      <c r="AA428" s="2518"/>
      <c r="AB428" s="2518"/>
      <c r="AC428" s="2518"/>
      <c r="AD428" s="2518"/>
      <c r="AE428" s="2518"/>
      <c r="AF428" s="539"/>
      <c r="AG428" s="536"/>
      <c r="AL428" s="732"/>
      <c r="AM428" s="570"/>
      <c r="AN428" s="597"/>
    </row>
    <row r="429" spans="1:55" s="550" customFormat="1" ht="12.4" customHeight="1">
      <c r="A429" s="536"/>
      <c r="B429" s="14"/>
      <c r="C429" s="731"/>
      <c r="D429" s="14"/>
      <c r="E429" s="691"/>
      <c r="F429" s="2518"/>
      <c r="G429" s="2518"/>
      <c r="H429" s="2518"/>
      <c r="I429" s="2518"/>
      <c r="J429" s="2518"/>
      <c r="K429" s="2518"/>
      <c r="L429" s="2518"/>
      <c r="M429" s="2518"/>
      <c r="N429" s="2518"/>
      <c r="O429" s="2518"/>
      <c r="P429" s="2518"/>
      <c r="Q429" s="2518"/>
      <c r="R429" s="2518"/>
      <c r="S429" s="2518"/>
      <c r="T429" s="2518"/>
      <c r="U429" s="2518"/>
      <c r="V429" s="2518"/>
      <c r="W429" s="2518"/>
      <c r="X429" s="2518"/>
      <c r="Y429" s="2518"/>
      <c r="Z429" s="2518"/>
      <c r="AA429" s="2518"/>
      <c r="AB429" s="2518"/>
      <c r="AC429" s="2518"/>
      <c r="AD429" s="2518"/>
      <c r="AE429" s="2518"/>
      <c r="AL429" s="732"/>
      <c r="AM429" s="570"/>
      <c r="AN429" s="597"/>
    </row>
    <row r="430" spans="1:55" s="550" customFormat="1" ht="12.75" customHeight="1">
      <c r="A430" s="536"/>
      <c r="B430" s="14"/>
      <c r="C430" s="2514" t="s">
        <v>591</v>
      </c>
      <c r="D430" s="2471"/>
      <c r="E430" s="691"/>
      <c r="F430" s="721" t="s">
        <v>1482</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439" t="s">
        <v>1461</v>
      </c>
      <c r="AG430" s="2439"/>
      <c r="AH430" s="2439"/>
      <c r="AI430" s="2439"/>
      <c r="AJ430" s="2439"/>
      <c r="AK430" s="2439"/>
      <c r="AL430" s="2519"/>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15" customHeight="1">
      <c r="A433" s="536"/>
      <c r="C433" s="746"/>
      <c r="D433" s="747"/>
      <c r="E433" s="715" t="s">
        <v>1483</v>
      </c>
      <c r="F433" s="2517" t="s">
        <v>1484</v>
      </c>
      <c r="G433" s="2517"/>
      <c r="H433" s="2517"/>
      <c r="I433" s="2517"/>
      <c r="J433" s="2517"/>
      <c r="K433" s="2517"/>
      <c r="L433" s="2517"/>
      <c r="M433" s="2517"/>
      <c r="N433" s="2517"/>
      <c r="O433" s="2517"/>
      <c r="P433" s="2517"/>
      <c r="Q433" s="2517"/>
      <c r="R433" s="2517"/>
      <c r="S433" s="2517"/>
      <c r="T433" s="2517"/>
      <c r="U433" s="2517"/>
      <c r="V433" s="2517"/>
      <c r="W433" s="2517"/>
      <c r="X433" s="2517"/>
      <c r="Y433" s="2517"/>
      <c r="Z433" s="2517"/>
      <c r="AA433" s="2517"/>
      <c r="AB433" s="2517"/>
      <c r="AC433" s="2517"/>
      <c r="AD433" s="2517"/>
      <c r="AE433" s="2517"/>
      <c r="AF433" s="747"/>
      <c r="AG433" s="747"/>
      <c r="AH433" s="747"/>
      <c r="AI433" s="747"/>
      <c r="AJ433" s="747"/>
      <c r="AK433" s="747"/>
      <c r="AL433" s="748"/>
      <c r="AM433" s="570"/>
      <c r="AO433" s="550"/>
      <c r="AP433" s="550"/>
      <c r="BD433" s="14"/>
      <c r="BE433" s="14"/>
      <c r="BF433" s="14"/>
      <c r="BG433" s="14"/>
      <c r="BH433" s="14"/>
    </row>
    <row r="434" spans="1:60">
      <c r="A434" s="536"/>
      <c r="C434" s="731"/>
      <c r="E434" s="691"/>
      <c r="F434" s="2518"/>
      <c r="G434" s="2518"/>
      <c r="H434" s="2518"/>
      <c r="I434" s="2518"/>
      <c r="J434" s="2518"/>
      <c r="K434" s="2518"/>
      <c r="L434" s="2518"/>
      <c r="M434" s="2518"/>
      <c r="N434" s="2518"/>
      <c r="O434" s="2518"/>
      <c r="P434" s="2518"/>
      <c r="Q434" s="2518"/>
      <c r="R434" s="2518"/>
      <c r="S434" s="2518"/>
      <c r="T434" s="2518"/>
      <c r="U434" s="2518"/>
      <c r="V434" s="2518"/>
      <c r="W434" s="2518"/>
      <c r="X434" s="2518"/>
      <c r="Y434" s="2518"/>
      <c r="Z434" s="2518"/>
      <c r="AA434" s="2518"/>
      <c r="AB434" s="2518"/>
      <c r="AC434" s="2518"/>
      <c r="AD434" s="2518"/>
      <c r="AE434" s="2518"/>
      <c r="AF434" s="594"/>
      <c r="AG434" s="594"/>
      <c r="AH434" s="594"/>
      <c r="AI434" s="594"/>
      <c r="AJ434" s="594"/>
      <c r="AK434" s="594"/>
      <c r="AL434" s="750"/>
      <c r="AM434" s="570"/>
      <c r="AO434" s="550"/>
      <c r="AP434" s="550"/>
    </row>
    <row r="435" spans="1:60" s="550" customFormat="1" ht="12.75" customHeight="1">
      <c r="A435" s="536"/>
      <c r="B435" s="14"/>
      <c r="C435" s="731"/>
      <c r="D435" s="14"/>
      <c r="E435" s="691"/>
      <c r="F435" s="2518"/>
      <c r="G435" s="2518"/>
      <c r="H435" s="2518"/>
      <c r="I435" s="2518"/>
      <c r="J435" s="2518"/>
      <c r="K435" s="2518"/>
      <c r="L435" s="2518"/>
      <c r="M435" s="2518"/>
      <c r="N435" s="2518"/>
      <c r="O435" s="2518"/>
      <c r="P435" s="2518"/>
      <c r="Q435" s="2518"/>
      <c r="R435" s="2518"/>
      <c r="S435" s="2518"/>
      <c r="T435" s="2518"/>
      <c r="U435" s="2518"/>
      <c r="V435" s="2518"/>
      <c r="W435" s="2518"/>
      <c r="X435" s="2518"/>
      <c r="Y435" s="2518"/>
      <c r="Z435" s="2518"/>
      <c r="AA435" s="2518"/>
      <c r="AB435" s="2518"/>
      <c r="AC435" s="2518"/>
      <c r="AD435" s="2518"/>
      <c r="AE435" s="2518"/>
      <c r="AF435" s="594"/>
      <c r="AG435" s="594"/>
      <c r="AH435" s="594"/>
      <c r="AI435" s="594"/>
      <c r="AJ435" s="594"/>
      <c r="AK435" s="594"/>
      <c r="AL435" s="750"/>
      <c r="AM435" s="570"/>
      <c r="AN435" s="597"/>
    </row>
    <row r="436" spans="1:60" s="550" customFormat="1" ht="12.75" customHeight="1">
      <c r="A436" s="536"/>
      <c r="B436" s="14"/>
      <c r="C436" s="751"/>
      <c r="D436" s="730"/>
      <c r="E436" s="719"/>
      <c r="F436" s="2518"/>
      <c r="G436" s="2518"/>
      <c r="H436" s="2518"/>
      <c r="I436" s="2518"/>
      <c r="J436" s="2518"/>
      <c r="K436" s="2518"/>
      <c r="L436" s="2518"/>
      <c r="M436" s="2518"/>
      <c r="N436" s="2518"/>
      <c r="O436" s="2518"/>
      <c r="P436" s="2518"/>
      <c r="Q436" s="2518"/>
      <c r="R436" s="2518"/>
      <c r="S436" s="2518"/>
      <c r="T436" s="2518"/>
      <c r="U436" s="2518"/>
      <c r="V436" s="2518"/>
      <c r="W436" s="2518"/>
      <c r="X436" s="2518"/>
      <c r="Y436" s="2518"/>
      <c r="Z436" s="2518"/>
      <c r="AA436" s="2518"/>
      <c r="AB436" s="2518"/>
      <c r="AC436" s="2518"/>
      <c r="AD436" s="2518"/>
      <c r="AE436" s="2518"/>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518"/>
      <c r="G437" s="2518"/>
      <c r="H437" s="2518"/>
      <c r="I437" s="2518"/>
      <c r="J437" s="2518"/>
      <c r="K437" s="2518"/>
      <c r="L437" s="2518"/>
      <c r="M437" s="2518"/>
      <c r="N437" s="2518"/>
      <c r="O437" s="2518"/>
      <c r="P437" s="2518"/>
      <c r="Q437" s="2518"/>
      <c r="R437" s="2518"/>
      <c r="S437" s="2518"/>
      <c r="T437" s="2518"/>
      <c r="U437" s="2518"/>
      <c r="V437" s="2518"/>
      <c r="W437" s="2518"/>
      <c r="X437" s="2518"/>
      <c r="Y437" s="2518"/>
      <c r="Z437" s="2518"/>
      <c r="AA437" s="2518"/>
      <c r="AB437" s="2518"/>
      <c r="AC437" s="2518"/>
      <c r="AD437" s="2518"/>
      <c r="AE437" s="2518"/>
      <c r="AF437" s="594"/>
      <c r="AG437" s="594"/>
      <c r="AH437" s="594"/>
      <c r="AI437" s="594"/>
      <c r="AJ437" s="594"/>
      <c r="AK437" s="594"/>
      <c r="AL437" s="750"/>
      <c r="AM437" s="570"/>
      <c r="AN437" s="597"/>
    </row>
    <row r="438" spans="1:60" s="550" customFormat="1" ht="12.75" customHeight="1">
      <c r="A438" s="536"/>
      <c r="B438" s="14"/>
      <c r="C438" s="751"/>
      <c r="D438" s="730"/>
      <c r="E438" s="719"/>
      <c r="F438" s="2518"/>
      <c r="G438" s="2518"/>
      <c r="H438" s="2518"/>
      <c r="I438" s="2518"/>
      <c r="J438" s="2518"/>
      <c r="K438" s="2518"/>
      <c r="L438" s="2518"/>
      <c r="M438" s="2518"/>
      <c r="N438" s="2518"/>
      <c r="O438" s="2518"/>
      <c r="P438" s="2518"/>
      <c r="Q438" s="2518"/>
      <c r="R438" s="2518"/>
      <c r="S438" s="2518"/>
      <c r="T438" s="2518"/>
      <c r="U438" s="2518"/>
      <c r="V438" s="2518"/>
      <c r="W438" s="2518"/>
      <c r="X438" s="2518"/>
      <c r="Y438" s="2518"/>
      <c r="Z438" s="2518"/>
      <c r="AA438" s="2518"/>
      <c r="AB438" s="2518"/>
      <c r="AC438" s="2518"/>
      <c r="AD438" s="2518"/>
      <c r="AE438" s="2518"/>
      <c r="AF438" s="594"/>
      <c r="AG438" s="594"/>
      <c r="AH438" s="594"/>
      <c r="AI438" s="594"/>
      <c r="AJ438" s="594"/>
      <c r="AK438" s="594"/>
      <c r="AL438" s="750"/>
      <c r="AM438" s="570"/>
      <c r="AN438" s="597"/>
    </row>
    <row r="439" spans="1:60" s="550" customFormat="1" ht="12.75" customHeight="1">
      <c r="A439" s="536"/>
      <c r="B439" s="14"/>
      <c r="C439" s="751"/>
      <c r="D439" s="730"/>
      <c r="E439" s="719"/>
      <c r="F439" s="2518"/>
      <c r="G439" s="2518"/>
      <c r="H439" s="2518"/>
      <c r="I439" s="2518"/>
      <c r="J439" s="2518"/>
      <c r="K439" s="2518"/>
      <c r="L439" s="2518"/>
      <c r="M439" s="2518"/>
      <c r="N439" s="2518"/>
      <c r="O439" s="2518"/>
      <c r="P439" s="2518"/>
      <c r="Q439" s="2518"/>
      <c r="R439" s="2518"/>
      <c r="S439" s="2518"/>
      <c r="T439" s="2518"/>
      <c r="U439" s="2518"/>
      <c r="V439" s="2518"/>
      <c r="W439" s="2518"/>
      <c r="X439" s="2518"/>
      <c r="Y439" s="2518"/>
      <c r="Z439" s="2518"/>
      <c r="AA439" s="2518"/>
      <c r="AB439" s="2518"/>
      <c r="AC439" s="2518"/>
      <c r="AD439" s="2518"/>
      <c r="AE439" s="2518"/>
      <c r="AF439" s="594"/>
      <c r="AG439" s="594"/>
      <c r="AH439" s="594"/>
      <c r="AI439" s="594"/>
      <c r="AJ439" s="594"/>
      <c r="AK439" s="594"/>
      <c r="AL439" s="750"/>
      <c r="AM439" s="570"/>
      <c r="AN439" s="597"/>
    </row>
    <row r="440" spans="1:60" s="550" customFormat="1" ht="12.75" customHeight="1">
      <c r="A440" s="536"/>
      <c r="B440" s="14"/>
      <c r="C440" s="751"/>
      <c r="D440" s="730"/>
      <c r="E440" s="719"/>
      <c r="F440" s="2518"/>
      <c r="G440" s="2518"/>
      <c r="H440" s="2518"/>
      <c r="I440" s="2518"/>
      <c r="J440" s="2518"/>
      <c r="K440" s="2518"/>
      <c r="L440" s="2518"/>
      <c r="M440" s="2518"/>
      <c r="N440" s="2518"/>
      <c r="O440" s="2518"/>
      <c r="P440" s="2518"/>
      <c r="Q440" s="2518"/>
      <c r="R440" s="2518"/>
      <c r="S440" s="2518"/>
      <c r="T440" s="2518"/>
      <c r="U440" s="2518"/>
      <c r="V440" s="2518"/>
      <c r="W440" s="2518"/>
      <c r="X440" s="2518"/>
      <c r="Y440" s="2518"/>
      <c r="Z440" s="2518"/>
      <c r="AA440" s="2518"/>
      <c r="AB440" s="2518"/>
      <c r="AC440" s="2518"/>
      <c r="AD440" s="2518"/>
      <c r="AE440" s="2518"/>
      <c r="AF440" s="594"/>
      <c r="AG440" s="594"/>
      <c r="AH440" s="594"/>
      <c r="AI440" s="594"/>
      <c r="AJ440" s="594"/>
      <c r="AK440" s="594"/>
      <c r="AL440" s="750"/>
      <c r="AM440" s="570"/>
      <c r="AN440" s="597"/>
    </row>
    <row r="441" spans="1:60" s="550" customFormat="1" ht="17.25" customHeight="1">
      <c r="A441" s="536"/>
      <c r="B441" s="14"/>
      <c r="C441" s="751"/>
      <c r="D441" s="730"/>
      <c r="E441" s="719"/>
      <c r="F441" s="2518"/>
      <c r="G441" s="2518"/>
      <c r="H441" s="2518"/>
      <c r="I441" s="2518"/>
      <c r="J441" s="2518"/>
      <c r="K441" s="2518"/>
      <c r="L441" s="2518"/>
      <c r="M441" s="2518"/>
      <c r="N441" s="2518"/>
      <c r="O441" s="2518"/>
      <c r="P441" s="2518"/>
      <c r="Q441" s="2518"/>
      <c r="R441" s="2518"/>
      <c r="S441" s="2518"/>
      <c r="T441" s="2518"/>
      <c r="U441" s="2518"/>
      <c r="V441" s="2518"/>
      <c r="W441" s="2518"/>
      <c r="X441" s="2518"/>
      <c r="Y441" s="2518"/>
      <c r="Z441" s="2518"/>
      <c r="AA441" s="2518"/>
      <c r="AB441" s="2518"/>
      <c r="AC441" s="2518"/>
      <c r="AD441" s="2518"/>
      <c r="AE441" s="2518"/>
      <c r="AL441" s="732"/>
      <c r="AM441" s="570"/>
      <c r="AN441" s="597"/>
    </row>
    <row r="442" spans="1:60" s="550" customFormat="1" ht="12.75" customHeight="1">
      <c r="A442" s="536"/>
      <c r="B442" s="14"/>
      <c r="C442" s="2514" t="s">
        <v>591</v>
      </c>
      <c r="D442" s="2471"/>
      <c r="E442" s="719"/>
      <c r="F442" s="596" t="s">
        <v>1485</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439" t="s">
        <v>1461</v>
      </c>
      <c r="AG442" s="2439"/>
      <c r="AH442" s="2439"/>
      <c r="AI442" s="2439"/>
      <c r="AJ442" s="2439"/>
      <c r="AK442" s="2439"/>
      <c r="AL442" s="2519"/>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1486</v>
      </c>
      <c r="F445" s="2517" t="s">
        <v>1487</v>
      </c>
      <c r="G445" s="2517"/>
      <c r="H445" s="2517"/>
      <c r="I445" s="2517"/>
      <c r="J445" s="2517"/>
      <c r="K445" s="2517"/>
      <c r="L445" s="2517"/>
      <c r="M445" s="2517"/>
      <c r="N445" s="2517"/>
      <c r="O445" s="2517"/>
      <c r="P445" s="2517"/>
      <c r="Q445" s="2517"/>
      <c r="R445" s="2517"/>
      <c r="S445" s="2517"/>
      <c r="T445" s="2517"/>
      <c r="U445" s="2517"/>
      <c r="V445" s="2517"/>
      <c r="W445" s="2517"/>
      <c r="X445" s="2517"/>
      <c r="Y445" s="2517"/>
      <c r="Z445" s="2517"/>
      <c r="AA445" s="2517"/>
      <c r="AB445" s="2517"/>
      <c r="AC445" s="2517"/>
      <c r="AD445" s="2517"/>
      <c r="AE445" s="2517"/>
      <c r="AF445" s="714"/>
      <c r="AG445" s="714"/>
      <c r="AH445" s="714"/>
      <c r="AI445" s="714"/>
      <c r="AJ445" s="714"/>
      <c r="AK445" s="714"/>
      <c r="AL445" s="745"/>
      <c r="AM445" s="570"/>
      <c r="AN445" s="597"/>
    </row>
    <row r="446" spans="1:60" s="550" customFormat="1" ht="12.75" customHeight="1">
      <c r="A446" s="536"/>
      <c r="B446" s="14"/>
      <c r="C446" s="751"/>
      <c r="D446" s="730"/>
      <c r="E446" s="719"/>
      <c r="F446" s="2518"/>
      <c r="G446" s="2518"/>
      <c r="H446" s="2518"/>
      <c r="I446" s="2518"/>
      <c r="J446" s="2518"/>
      <c r="K446" s="2518"/>
      <c r="L446" s="2518"/>
      <c r="M446" s="2518"/>
      <c r="N446" s="2518"/>
      <c r="O446" s="2518"/>
      <c r="P446" s="2518"/>
      <c r="Q446" s="2518"/>
      <c r="R446" s="2518"/>
      <c r="S446" s="2518"/>
      <c r="T446" s="2518"/>
      <c r="U446" s="2518"/>
      <c r="V446" s="2518"/>
      <c r="W446" s="2518"/>
      <c r="X446" s="2518"/>
      <c r="Y446" s="2518"/>
      <c r="Z446" s="2518"/>
      <c r="AA446" s="2518"/>
      <c r="AB446" s="2518"/>
      <c r="AC446" s="2518"/>
      <c r="AD446" s="2518"/>
      <c r="AE446" s="2518"/>
      <c r="AF446" s="591"/>
      <c r="AG446" s="591"/>
      <c r="AH446" s="591"/>
      <c r="AI446" s="591"/>
      <c r="AJ446" s="591"/>
      <c r="AK446" s="591"/>
      <c r="AL446" s="720"/>
      <c r="AM446" s="570"/>
      <c r="AN446" s="597"/>
    </row>
    <row r="447" spans="1:60" s="550" customFormat="1" ht="12.75" customHeight="1">
      <c r="A447" s="536"/>
      <c r="B447" s="14"/>
      <c r="C447" s="751"/>
      <c r="D447" s="730"/>
      <c r="E447" s="719"/>
      <c r="F447" s="2518"/>
      <c r="G447" s="2518"/>
      <c r="H447" s="2518"/>
      <c r="I447" s="2518"/>
      <c r="J447" s="2518"/>
      <c r="K447" s="2518"/>
      <c r="L447" s="2518"/>
      <c r="M447" s="2518"/>
      <c r="N447" s="2518"/>
      <c r="O447" s="2518"/>
      <c r="P447" s="2518"/>
      <c r="Q447" s="2518"/>
      <c r="R447" s="2518"/>
      <c r="S447" s="2518"/>
      <c r="T447" s="2518"/>
      <c r="U447" s="2518"/>
      <c r="V447" s="2518"/>
      <c r="W447" s="2518"/>
      <c r="X447" s="2518"/>
      <c r="Y447" s="2518"/>
      <c r="Z447" s="2518"/>
      <c r="AA447" s="2518"/>
      <c r="AB447" s="2518"/>
      <c r="AC447" s="2518"/>
      <c r="AD447" s="2518"/>
      <c r="AE447" s="2518"/>
      <c r="AF447" s="591"/>
      <c r="AG447" s="591"/>
      <c r="AH447" s="591"/>
      <c r="AI447" s="591"/>
      <c r="AJ447" s="591"/>
      <c r="AK447" s="591"/>
      <c r="AL447" s="720"/>
      <c r="AM447" s="570"/>
      <c r="AN447" s="597"/>
    </row>
    <row r="448" spans="1:60" s="550" customFormat="1" ht="12.75" customHeight="1">
      <c r="A448" s="536"/>
      <c r="B448" s="14"/>
      <c r="C448" s="751"/>
      <c r="D448" s="730"/>
      <c r="E448" s="719"/>
      <c r="F448" s="2518"/>
      <c r="G448" s="2518"/>
      <c r="H448" s="2518"/>
      <c r="I448" s="2518"/>
      <c r="J448" s="2518"/>
      <c r="K448" s="2518"/>
      <c r="L448" s="2518"/>
      <c r="M448" s="2518"/>
      <c r="N448" s="2518"/>
      <c r="O448" s="2518"/>
      <c r="P448" s="2518"/>
      <c r="Q448" s="2518"/>
      <c r="R448" s="2518"/>
      <c r="S448" s="2518"/>
      <c r="T448" s="2518"/>
      <c r="U448" s="2518"/>
      <c r="V448" s="2518"/>
      <c r="W448" s="2518"/>
      <c r="X448" s="2518"/>
      <c r="Y448" s="2518"/>
      <c r="Z448" s="2518"/>
      <c r="AA448" s="2518"/>
      <c r="AB448" s="2518"/>
      <c r="AC448" s="2518"/>
      <c r="AD448" s="2518"/>
      <c r="AE448" s="2518"/>
      <c r="AL448" s="732"/>
      <c r="AM448" s="570"/>
      <c r="AN448" s="597"/>
    </row>
    <row r="449" spans="1:40" s="550" customFormat="1" ht="12.75" customHeight="1">
      <c r="A449" s="536"/>
      <c r="B449" s="14"/>
      <c r="C449" s="2514" t="s">
        <v>591</v>
      </c>
      <c r="D449" s="2471"/>
      <c r="E449" s="719"/>
      <c r="F449" s="721" t="s">
        <v>1491</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439" t="s">
        <v>1461</v>
      </c>
      <c r="AG449" s="2439"/>
      <c r="AH449" s="2439"/>
      <c r="AI449" s="2439"/>
      <c r="AJ449" s="2439"/>
      <c r="AK449" s="2439"/>
      <c r="AL449" s="2519"/>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1468</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20" t="s">
        <v>591</v>
      </c>
      <c r="D453" s="2521"/>
      <c r="E453" s="715" t="s">
        <v>1496</v>
      </c>
      <c r="F453" s="2517" t="s">
        <v>1497</v>
      </c>
      <c r="G453" s="2517"/>
      <c r="H453" s="2517"/>
      <c r="I453" s="2517"/>
      <c r="J453" s="2517"/>
      <c r="K453" s="2517"/>
      <c r="L453" s="2517"/>
      <c r="M453" s="2517"/>
      <c r="N453" s="2517"/>
      <c r="O453" s="2517"/>
      <c r="P453" s="2517"/>
      <c r="Q453" s="2517"/>
      <c r="R453" s="2517"/>
      <c r="S453" s="2517"/>
      <c r="T453" s="2517"/>
      <c r="U453" s="2517"/>
      <c r="V453" s="2517"/>
      <c r="W453" s="2517"/>
      <c r="X453" s="2517"/>
      <c r="Y453" s="2517"/>
      <c r="Z453" s="2517"/>
      <c r="AA453" s="2517"/>
      <c r="AB453" s="2517"/>
      <c r="AC453" s="2517"/>
      <c r="AD453" s="2517"/>
      <c r="AE453" s="2517"/>
      <c r="AF453" s="2538" t="s">
        <v>1461</v>
      </c>
      <c r="AG453" s="2538"/>
      <c r="AH453" s="2538"/>
      <c r="AI453" s="2538"/>
      <c r="AJ453" s="2538"/>
      <c r="AK453" s="2538"/>
      <c r="AL453" s="2539"/>
      <c r="AM453" s="570"/>
      <c r="AN453" s="753"/>
    </row>
    <row r="454" spans="1:40" s="550" customFormat="1" ht="12.75" customHeight="1">
      <c r="A454" s="536"/>
      <c r="B454" s="14"/>
      <c r="C454" s="751"/>
      <c r="D454" s="730"/>
      <c r="E454" s="719"/>
      <c r="F454" s="2518"/>
      <c r="G454" s="2518"/>
      <c r="H454" s="2518"/>
      <c r="I454" s="2518"/>
      <c r="J454" s="2518"/>
      <c r="K454" s="2518"/>
      <c r="L454" s="2518"/>
      <c r="M454" s="2518"/>
      <c r="N454" s="2518"/>
      <c r="O454" s="2518"/>
      <c r="P454" s="2518"/>
      <c r="Q454" s="2518"/>
      <c r="R454" s="2518"/>
      <c r="S454" s="2518"/>
      <c r="T454" s="2518"/>
      <c r="U454" s="2518"/>
      <c r="V454" s="2518"/>
      <c r="W454" s="2518"/>
      <c r="X454" s="2518"/>
      <c r="Y454" s="2518"/>
      <c r="Z454" s="2518"/>
      <c r="AA454" s="2518"/>
      <c r="AB454" s="2518"/>
      <c r="AC454" s="2518"/>
      <c r="AD454" s="2518"/>
      <c r="AE454" s="2518"/>
      <c r="AF454" s="591"/>
      <c r="AG454" s="591"/>
      <c r="AH454" s="591"/>
      <c r="AI454" s="591"/>
      <c r="AJ454" s="591"/>
      <c r="AK454" s="591"/>
      <c r="AL454" s="720"/>
      <c r="AM454" s="570"/>
      <c r="AN454" s="754"/>
    </row>
    <row r="455" spans="1:40" s="550" customFormat="1" ht="17.649999999999999" customHeight="1">
      <c r="A455" s="536"/>
      <c r="B455" s="14"/>
      <c r="C455" s="756"/>
      <c r="D455" s="723"/>
      <c r="E455" s="724"/>
      <c r="F455" s="2537"/>
      <c r="G455" s="2537"/>
      <c r="H455" s="2537"/>
      <c r="I455" s="2537"/>
      <c r="J455" s="2537"/>
      <c r="K455" s="2537"/>
      <c r="L455" s="2537"/>
      <c r="M455" s="2537"/>
      <c r="N455" s="2537"/>
      <c r="O455" s="2537"/>
      <c r="P455" s="2537"/>
      <c r="Q455" s="2537"/>
      <c r="R455" s="2537"/>
      <c r="S455" s="2537"/>
      <c r="T455" s="2537"/>
      <c r="U455" s="2537"/>
      <c r="V455" s="2537"/>
      <c r="W455" s="2537"/>
      <c r="X455" s="2537"/>
      <c r="Y455" s="2537"/>
      <c r="Z455" s="2537"/>
      <c r="AA455" s="2537"/>
      <c r="AB455" s="2537"/>
      <c r="AC455" s="2537"/>
      <c r="AD455" s="2537"/>
      <c r="AE455" s="2537"/>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514" t="s">
        <v>591</v>
      </c>
      <c r="D457" s="2471"/>
      <c r="E457" s="715" t="s">
        <v>1502</v>
      </c>
      <c r="F457" s="2517" t="s">
        <v>1503</v>
      </c>
      <c r="G457" s="2517"/>
      <c r="H457" s="2517"/>
      <c r="I457" s="2517"/>
      <c r="J457" s="2517"/>
      <c r="K457" s="2517"/>
      <c r="L457" s="2517"/>
      <c r="M457" s="2517"/>
      <c r="N457" s="2517"/>
      <c r="O457" s="2517"/>
      <c r="P457" s="2517"/>
      <c r="Q457" s="2517"/>
      <c r="R457" s="2517"/>
      <c r="S457" s="2517"/>
      <c r="T457" s="2517"/>
      <c r="U457" s="2517"/>
      <c r="V457" s="2517"/>
      <c r="W457" s="2517"/>
      <c r="X457" s="2517"/>
      <c r="Y457" s="2517"/>
      <c r="Z457" s="2517"/>
      <c r="AA457" s="2517"/>
      <c r="AB457" s="2517"/>
      <c r="AC457" s="2517"/>
      <c r="AD457" s="2517"/>
      <c r="AE457" s="2517"/>
      <c r="AF457" s="2538" t="s">
        <v>1461</v>
      </c>
      <c r="AG457" s="2538"/>
      <c r="AH457" s="2538"/>
      <c r="AI457" s="2538"/>
      <c r="AJ457" s="2538"/>
      <c r="AK457" s="2538"/>
      <c r="AL457" s="2539"/>
      <c r="AM457" s="570"/>
      <c r="AN457" s="535"/>
    </row>
    <row r="458" spans="1:40" s="550" customFormat="1" ht="12.75" customHeight="1">
      <c r="A458" s="536"/>
      <c r="B458" s="14"/>
      <c r="C458" s="731"/>
      <c r="D458" s="14"/>
      <c r="E458" s="691"/>
      <c r="F458" s="2518"/>
      <c r="G458" s="2518"/>
      <c r="H458" s="2518"/>
      <c r="I458" s="2518"/>
      <c r="J458" s="2518"/>
      <c r="K458" s="2518"/>
      <c r="L458" s="2518"/>
      <c r="M458" s="2518"/>
      <c r="N458" s="2518"/>
      <c r="O458" s="2518"/>
      <c r="P458" s="2518"/>
      <c r="Q458" s="2518"/>
      <c r="R458" s="2518"/>
      <c r="S458" s="2518"/>
      <c r="T458" s="2518"/>
      <c r="U458" s="2518"/>
      <c r="V458" s="2518"/>
      <c r="W458" s="2518"/>
      <c r="X458" s="2518"/>
      <c r="Y458" s="2518"/>
      <c r="Z458" s="2518"/>
      <c r="AA458" s="2518"/>
      <c r="AB458" s="2518"/>
      <c r="AC458" s="2518"/>
      <c r="AD458" s="2518"/>
      <c r="AE458" s="2518"/>
      <c r="AF458" s="539"/>
      <c r="AG458" s="536"/>
      <c r="AL458" s="732"/>
      <c r="AM458" s="570"/>
      <c r="AN458" s="535"/>
    </row>
    <row r="459" spans="1:40" s="550" customFormat="1" ht="12.75" customHeight="1">
      <c r="A459" s="536"/>
      <c r="B459" s="14"/>
      <c r="C459" s="731"/>
      <c r="D459" s="14"/>
      <c r="E459" s="691"/>
      <c r="F459" s="2518"/>
      <c r="G459" s="2518"/>
      <c r="H459" s="2518"/>
      <c r="I459" s="2518"/>
      <c r="J459" s="2518"/>
      <c r="K459" s="2518"/>
      <c r="L459" s="2518"/>
      <c r="M459" s="2518"/>
      <c r="N459" s="2518"/>
      <c r="O459" s="2518"/>
      <c r="P459" s="2518"/>
      <c r="Q459" s="2518"/>
      <c r="R459" s="2518"/>
      <c r="S459" s="2518"/>
      <c r="T459" s="2518"/>
      <c r="U459" s="2518"/>
      <c r="V459" s="2518"/>
      <c r="W459" s="2518"/>
      <c r="X459" s="2518"/>
      <c r="Y459" s="2518"/>
      <c r="Z459" s="2518"/>
      <c r="AA459" s="2518"/>
      <c r="AB459" s="2518"/>
      <c r="AC459" s="2518"/>
      <c r="AD459" s="2518"/>
      <c r="AE459" s="2518"/>
      <c r="AF459" s="539"/>
      <c r="AG459" s="536"/>
      <c r="AL459" s="732"/>
      <c r="AM459" s="570"/>
      <c r="AN459" s="535"/>
    </row>
    <row r="460" spans="1:40" s="550" customFormat="1" ht="12.75" customHeight="1">
      <c r="A460" s="536"/>
      <c r="B460" s="14"/>
      <c r="C460" s="756"/>
      <c r="D460" s="723"/>
      <c r="E460" s="724"/>
      <c r="F460" s="2537"/>
      <c r="G460" s="2537"/>
      <c r="H460" s="2537"/>
      <c r="I460" s="2537"/>
      <c r="J460" s="2537"/>
      <c r="K460" s="2537"/>
      <c r="L460" s="2537"/>
      <c r="M460" s="2537"/>
      <c r="N460" s="2537"/>
      <c r="O460" s="2537"/>
      <c r="P460" s="2537"/>
      <c r="Q460" s="2537"/>
      <c r="R460" s="2537"/>
      <c r="S460" s="2537"/>
      <c r="T460" s="2537"/>
      <c r="U460" s="2537"/>
      <c r="V460" s="2537"/>
      <c r="W460" s="2537"/>
      <c r="X460" s="2537"/>
      <c r="Y460" s="2537"/>
      <c r="Z460" s="2537"/>
      <c r="AA460" s="2537"/>
      <c r="AB460" s="2537"/>
      <c r="AC460" s="2537"/>
      <c r="AD460" s="2537"/>
      <c r="AE460" s="2537"/>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1505</v>
      </c>
      <c r="F462" s="2517" t="s">
        <v>1506</v>
      </c>
      <c r="G462" s="2517"/>
      <c r="H462" s="2517"/>
      <c r="I462" s="2517"/>
      <c r="J462" s="2517"/>
      <c r="K462" s="2517"/>
      <c r="L462" s="2517"/>
      <c r="M462" s="2517"/>
      <c r="N462" s="2517"/>
      <c r="O462" s="2517"/>
      <c r="P462" s="2517"/>
      <c r="Q462" s="2517"/>
      <c r="R462" s="2517"/>
      <c r="S462" s="2517"/>
      <c r="T462" s="2517"/>
      <c r="U462" s="2517"/>
      <c r="V462" s="2517"/>
      <c r="W462" s="2517"/>
      <c r="X462" s="2517"/>
      <c r="Y462" s="2517"/>
      <c r="Z462" s="2517"/>
      <c r="AA462" s="2517"/>
      <c r="AB462" s="2517"/>
      <c r="AC462" s="2517"/>
      <c r="AD462" s="2517"/>
      <c r="AE462" s="2517"/>
      <c r="AF462" s="2517"/>
      <c r="AG462" s="744"/>
      <c r="AH462" s="714"/>
      <c r="AI462" s="714"/>
      <c r="AJ462" s="714"/>
      <c r="AK462" s="714"/>
      <c r="AL462" s="745"/>
      <c r="AM462" s="570"/>
      <c r="AN462" s="597"/>
    </row>
    <row r="463" spans="1:40" s="550" customFormat="1" ht="12.75" customHeight="1">
      <c r="A463" s="536"/>
      <c r="B463" s="14"/>
      <c r="C463" s="731"/>
      <c r="D463" s="14"/>
      <c r="E463" s="691"/>
      <c r="F463" s="2518"/>
      <c r="G463" s="2518"/>
      <c r="H463" s="2518"/>
      <c r="I463" s="2518"/>
      <c r="J463" s="2518"/>
      <c r="K463" s="2518"/>
      <c r="L463" s="2518"/>
      <c r="M463" s="2518"/>
      <c r="N463" s="2518"/>
      <c r="O463" s="2518"/>
      <c r="P463" s="2518"/>
      <c r="Q463" s="2518"/>
      <c r="R463" s="2518"/>
      <c r="S463" s="2518"/>
      <c r="T463" s="2518"/>
      <c r="U463" s="2518"/>
      <c r="V463" s="2518"/>
      <c r="W463" s="2518"/>
      <c r="X463" s="2518"/>
      <c r="Y463" s="2518"/>
      <c r="Z463" s="2518"/>
      <c r="AA463" s="2518"/>
      <c r="AB463" s="2518"/>
      <c r="AC463" s="2518"/>
      <c r="AD463" s="2518"/>
      <c r="AE463" s="2518"/>
      <c r="AF463" s="2518"/>
      <c r="AL463" s="732"/>
      <c r="AM463" s="570"/>
      <c r="AN463" s="597"/>
    </row>
    <row r="464" spans="1:40" s="550" customFormat="1" ht="12.75" customHeight="1">
      <c r="A464" s="536"/>
      <c r="B464" s="14"/>
      <c r="C464" s="739"/>
      <c r="F464" s="2518"/>
      <c r="G464" s="2518"/>
      <c r="H464" s="2518"/>
      <c r="I464" s="2518"/>
      <c r="J464" s="2518"/>
      <c r="K464" s="2518"/>
      <c r="L464" s="2518"/>
      <c r="M464" s="2518"/>
      <c r="N464" s="2518"/>
      <c r="O464" s="2518"/>
      <c r="P464" s="2518"/>
      <c r="Q464" s="2518"/>
      <c r="R464" s="2518"/>
      <c r="S464" s="2518"/>
      <c r="T464" s="2518"/>
      <c r="U464" s="2518"/>
      <c r="V464" s="2518"/>
      <c r="W464" s="2518"/>
      <c r="X464" s="2518"/>
      <c r="Y464" s="2518"/>
      <c r="Z464" s="2518"/>
      <c r="AA464" s="2518"/>
      <c r="AB464" s="2518"/>
      <c r="AC464" s="2518"/>
      <c r="AD464" s="2518"/>
      <c r="AE464" s="2518"/>
      <c r="AF464" s="2518"/>
      <c r="AL464" s="732"/>
      <c r="AM464" s="570"/>
      <c r="AN464" s="597"/>
    </row>
    <row r="465" spans="1:58" s="550" customFormat="1" ht="12.75" customHeight="1">
      <c r="A465" s="536"/>
      <c r="B465" s="14"/>
      <c r="C465" s="739"/>
      <c r="F465" s="2518"/>
      <c r="G465" s="2518"/>
      <c r="H465" s="2518"/>
      <c r="I465" s="2518"/>
      <c r="J465" s="2518"/>
      <c r="K465" s="2518"/>
      <c r="L465" s="2518"/>
      <c r="M465" s="2518"/>
      <c r="N465" s="2518"/>
      <c r="O465" s="2518"/>
      <c r="P465" s="2518"/>
      <c r="Q465" s="2518"/>
      <c r="R465" s="2518"/>
      <c r="S465" s="2518"/>
      <c r="T465" s="2518"/>
      <c r="U465" s="2518"/>
      <c r="V465" s="2518"/>
      <c r="W465" s="2518"/>
      <c r="X465" s="2518"/>
      <c r="Y465" s="2518"/>
      <c r="Z465" s="2518"/>
      <c r="AA465" s="2518"/>
      <c r="AB465" s="2518"/>
      <c r="AC465" s="2518"/>
      <c r="AD465" s="2518"/>
      <c r="AE465" s="2518"/>
      <c r="AF465" s="2518"/>
      <c r="AL465" s="732"/>
      <c r="AM465" s="570"/>
      <c r="AN465" s="597"/>
    </row>
    <row r="466" spans="1:58" s="550" customFormat="1" ht="12.75" customHeight="1">
      <c r="A466" s="536"/>
      <c r="B466" s="14"/>
      <c r="C466" s="2514" t="s">
        <v>591</v>
      </c>
      <c r="D466" s="2471"/>
      <c r="E466" s="719"/>
      <c r="F466" s="721" t="s">
        <v>1478</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515" t="s">
        <v>1461</v>
      </c>
      <c r="AG466" s="2515"/>
      <c r="AH466" s="2515"/>
      <c r="AI466" s="2515"/>
      <c r="AJ466" s="2515"/>
      <c r="AK466" s="2515"/>
      <c r="AL466" s="2516"/>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1507</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1508</v>
      </c>
      <c r="AK469" s="2474">
        <f>IF(Application!D214="N/A",AS358,AS360)</f>
        <v>10</v>
      </c>
      <c r="AL469" s="2475"/>
      <c r="AM469" s="2476"/>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591</v>
      </c>
      <c r="AP471" s="550">
        <v>0</v>
      </c>
      <c r="AT471" s="550" t="s">
        <v>591</v>
      </c>
      <c r="AU471" s="550">
        <v>0</v>
      </c>
      <c r="AV471" s="752"/>
    </row>
    <row r="472" spans="1:58" s="550" customFormat="1" ht="12.75" hidden="1" customHeight="1">
      <c r="A472" s="539" t="s">
        <v>1509</v>
      </c>
      <c r="C472" s="539"/>
      <c r="E472" s="596"/>
      <c r="AE472" s="2515" t="s">
        <v>1510</v>
      </c>
      <c r="AF472" s="2515"/>
      <c r="AG472" s="2515"/>
      <c r="AH472" s="2515"/>
      <c r="AI472" s="2515"/>
      <c r="AJ472" s="2515"/>
      <c r="AK472" s="2515"/>
      <c r="AL472" s="591"/>
      <c r="AN472" s="597"/>
      <c r="AO472" s="550" t="s">
        <v>1488</v>
      </c>
      <c r="AP472" s="550">
        <v>5</v>
      </c>
      <c r="AT472" s="550" t="s">
        <v>1488</v>
      </c>
      <c r="AU472" s="550">
        <v>5</v>
      </c>
      <c r="AV472" s="752"/>
    </row>
    <row r="473" spans="1:58" s="550" customFormat="1" ht="12.75" hidden="1" customHeight="1">
      <c r="A473" s="539"/>
      <c r="B473" s="536" t="s">
        <v>1511</v>
      </c>
      <c r="C473" s="539"/>
      <c r="E473" s="596"/>
      <c r="AE473" s="591"/>
      <c r="AF473" s="591"/>
      <c r="AG473" s="591"/>
      <c r="AH473" s="591"/>
      <c r="AI473" s="591"/>
      <c r="AJ473" s="591"/>
      <c r="AK473" s="591"/>
      <c r="AL473" s="591"/>
      <c r="AN473" s="597"/>
      <c r="AO473" s="550" t="s">
        <v>1512</v>
      </c>
      <c r="AP473" s="550">
        <v>5</v>
      </c>
      <c r="AT473" s="550" t="s">
        <v>1489</v>
      </c>
      <c r="AU473" s="550">
        <v>5</v>
      </c>
      <c r="AV473" s="752"/>
    </row>
    <row r="474" spans="1:58" s="550" customFormat="1" ht="12.75" hidden="1" customHeight="1">
      <c r="A474" s="539"/>
      <c r="B474" s="539" t="s">
        <v>1513</v>
      </c>
      <c r="C474" s="539"/>
      <c r="E474" s="596"/>
      <c r="AE474" s="591"/>
      <c r="AF474" s="591"/>
      <c r="AG474" s="591"/>
      <c r="AH474" s="591"/>
      <c r="AI474" s="591"/>
      <c r="AJ474" s="591"/>
      <c r="AK474" s="591"/>
      <c r="AL474" s="591"/>
      <c r="AN474" s="597"/>
      <c r="AO474" s="550" t="s">
        <v>1490</v>
      </c>
      <c r="AP474" s="550">
        <v>5</v>
      </c>
      <c r="AQ474" s="539"/>
      <c r="AR474" s="539"/>
      <c r="AS474" s="755"/>
      <c r="AT474" s="550" t="s">
        <v>1490</v>
      </c>
      <c r="AU474" s="550">
        <v>5</v>
      </c>
      <c r="AV474" s="536"/>
    </row>
    <row r="475" spans="1:58" s="550" customFormat="1" ht="12.75" hidden="1" customHeight="1">
      <c r="A475" s="539"/>
      <c r="B475" s="539" t="s">
        <v>1514</v>
      </c>
      <c r="C475" s="539"/>
      <c r="E475" s="596"/>
      <c r="AE475" s="591"/>
      <c r="AF475" s="591"/>
      <c r="AG475" s="591"/>
      <c r="AH475" s="591"/>
      <c r="AI475" s="591"/>
      <c r="AJ475" s="591"/>
      <c r="AK475" s="591"/>
      <c r="AL475" s="591"/>
      <c r="AN475" s="597"/>
      <c r="AO475" s="550" t="s">
        <v>1492</v>
      </c>
      <c r="AP475" s="550">
        <v>5</v>
      </c>
      <c r="AQ475" s="539"/>
      <c r="AR475" s="539"/>
      <c r="AT475" s="550" t="s">
        <v>1492</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1493</v>
      </c>
      <c r="AP476" s="550">
        <v>5</v>
      </c>
      <c r="AQ476" s="539"/>
      <c r="AR476" s="539"/>
      <c r="AT476" s="550" t="s">
        <v>1493</v>
      </c>
      <c r="AU476" s="550">
        <v>5</v>
      </c>
    </row>
    <row r="477" spans="1:58" s="550" customFormat="1" ht="12.75" hidden="1" customHeight="1">
      <c r="A477" s="539"/>
      <c r="C477" s="712" t="s">
        <v>1515</v>
      </c>
      <c r="D477" s="570"/>
      <c r="AE477" s="591"/>
      <c r="AF477" s="591"/>
      <c r="AG477" s="596"/>
      <c r="AH477" s="596"/>
      <c r="AI477" s="596"/>
      <c r="AJ477" s="596"/>
      <c r="AK477" s="596"/>
      <c r="AL477" s="596"/>
      <c r="AN477" s="597"/>
      <c r="AO477" s="550" t="s">
        <v>1494</v>
      </c>
      <c r="AP477" s="550">
        <v>5</v>
      </c>
      <c r="AT477" s="550" t="s">
        <v>1494</v>
      </c>
      <c r="AU477" s="550">
        <v>5</v>
      </c>
    </row>
    <row r="478" spans="1:58" s="550" customFormat="1" ht="12.75" hidden="1" customHeight="1">
      <c r="A478" s="539"/>
      <c r="C478" s="2540" t="s">
        <v>591</v>
      </c>
      <c r="D478" s="2541"/>
      <c r="E478" s="761" t="s">
        <v>507</v>
      </c>
      <c r="F478" s="2542" t="s">
        <v>1516</v>
      </c>
      <c r="G478" s="2542"/>
      <c r="H478" s="2542"/>
      <c r="I478" s="2542"/>
      <c r="J478" s="2542"/>
      <c r="K478" s="2542"/>
      <c r="L478" s="2542"/>
      <c r="M478" s="2542"/>
      <c r="N478" s="2542"/>
      <c r="O478" s="2542"/>
      <c r="P478" s="2542"/>
      <c r="Q478" s="2542"/>
      <c r="R478" s="2542"/>
      <c r="S478" s="2542"/>
      <c r="T478" s="2542"/>
      <c r="U478" s="2542"/>
      <c r="V478" s="2542"/>
      <c r="W478" s="2542"/>
      <c r="X478" s="2542"/>
      <c r="Y478" s="2542"/>
      <c r="Z478" s="2542"/>
      <c r="AA478" s="2542"/>
      <c r="AB478" s="2542"/>
      <c r="AC478" s="2542"/>
      <c r="AD478" s="2542"/>
      <c r="AE478" s="2542"/>
      <c r="AF478" s="714"/>
      <c r="AG478" s="714"/>
      <c r="AH478" s="714"/>
      <c r="AI478" s="714"/>
      <c r="AJ478" s="714"/>
      <c r="AK478" s="745"/>
      <c r="AN478" s="597"/>
      <c r="AO478" s="550" t="s">
        <v>1517</v>
      </c>
      <c r="AP478" s="550">
        <v>5</v>
      </c>
      <c r="AS478" s="758"/>
      <c r="AT478" s="550" t="s">
        <v>1495</v>
      </c>
      <c r="AU478" s="550">
        <v>5</v>
      </c>
    </row>
    <row r="479" spans="1:58" s="550" customFormat="1" ht="12.75" hidden="1" customHeight="1">
      <c r="C479" s="762"/>
      <c r="E479" s="763"/>
      <c r="F479" s="2543"/>
      <c r="G479" s="2543"/>
      <c r="H479" s="2543"/>
      <c r="I479" s="2543"/>
      <c r="J479" s="2543"/>
      <c r="K479" s="2543"/>
      <c r="L479" s="2543"/>
      <c r="M479" s="2543"/>
      <c r="N479" s="2543"/>
      <c r="O479" s="2543"/>
      <c r="P479" s="2543"/>
      <c r="Q479" s="2543"/>
      <c r="R479" s="2543"/>
      <c r="S479" s="2543"/>
      <c r="T479" s="2543"/>
      <c r="U479" s="2543"/>
      <c r="V479" s="2543"/>
      <c r="W479" s="2543"/>
      <c r="X479" s="2543"/>
      <c r="Y479" s="2543"/>
      <c r="Z479" s="2543"/>
      <c r="AA479" s="2543"/>
      <c r="AB479" s="2543"/>
      <c r="AC479" s="2543"/>
      <c r="AD479" s="2543"/>
      <c r="AE479" s="2543"/>
      <c r="AG479" s="551"/>
      <c r="AH479" s="551"/>
      <c r="AI479" s="551"/>
      <c r="AJ479" s="551"/>
      <c r="AK479" s="732"/>
      <c r="AN479" s="597"/>
      <c r="AO479" s="550" t="s">
        <v>1498</v>
      </c>
      <c r="AP479" s="550">
        <v>1</v>
      </c>
      <c r="AT479" s="550" t="s">
        <v>1498</v>
      </c>
      <c r="AU479" s="550">
        <v>1</v>
      </c>
    </row>
    <row r="480" spans="1:58" s="550" customFormat="1" ht="12.75" hidden="1" customHeight="1">
      <c r="C480" s="764"/>
      <c r="D480" s="727"/>
      <c r="E480" s="765"/>
      <c r="F480" s="2616" t="s">
        <v>591</v>
      </c>
      <c r="G480" s="2616"/>
      <c r="H480" s="2616"/>
      <c r="I480" s="2616"/>
      <c r="J480" s="2616"/>
      <c r="K480" s="2616"/>
      <c r="L480" s="2616"/>
      <c r="M480" s="2616"/>
      <c r="N480" s="2616"/>
      <c r="O480" s="2616"/>
      <c r="P480" s="2616"/>
      <c r="Q480" s="2616"/>
      <c r="R480" s="2616"/>
      <c r="S480" s="2616"/>
      <c r="T480" s="2616"/>
      <c r="U480" s="2616"/>
      <c r="V480" s="2616"/>
      <c r="W480" s="2616"/>
      <c r="X480" s="2616"/>
      <c r="Y480" s="2616"/>
      <c r="Z480" s="2616"/>
      <c r="AA480" s="766"/>
      <c r="AB480" s="658"/>
      <c r="AC480" s="658"/>
      <c r="AD480" s="727"/>
      <c r="AE480" s="727"/>
      <c r="AF480" s="727"/>
      <c r="AG480" s="767">
        <f>IF($C$478="Yes",(VLOOKUP($F$480,$AT$471:$AU$479,2,FALSE)),0)</f>
        <v>0</v>
      </c>
      <c r="AH480" s="768" t="s">
        <v>1327</v>
      </c>
      <c r="AI480" s="767"/>
      <c r="AJ480" s="767"/>
      <c r="AK480" s="742"/>
      <c r="AN480" s="597"/>
      <c r="AS480" s="755"/>
      <c r="AX480" s="755"/>
      <c r="BB480" s="755" t="s">
        <v>1499</v>
      </c>
      <c r="BF480" s="755" t="s">
        <v>1500</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591</v>
      </c>
      <c r="AP481" s="637">
        <v>0</v>
      </c>
      <c r="AT481" s="550" t="s">
        <v>591</v>
      </c>
      <c r="AU481" s="637">
        <v>0</v>
      </c>
      <c r="AW481" s="550" t="s">
        <v>591</v>
      </c>
      <c r="AX481" s="637">
        <v>0</v>
      </c>
      <c r="AY481" s="593"/>
      <c r="BB481" s="550" t="s">
        <v>591</v>
      </c>
      <c r="BC481" s="593">
        <v>0</v>
      </c>
      <c r="BF481" s="550" t="s">
        <v>591</v>
      </c>
      <c r="BG481" s="593">
        <v>0</v>
      </c>
    </row>
    <row r="482" spans="1:81" s="550" customFormat="1" ht="12.75" hidden="1" customHeight="1">
      <c r="C482" s="2617" t="s">
        <v>545</v>
      </c>
      <c r="D482" s="2618"/>
      <c r="E482" s="761" t="s">
        <v>757</v>
      </c>
      <c r="F482" s="769" t="s">
        <v>1518</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1501</v>
      </c>
      <c r="AX482" s="637">
        <v>3</v>
      </c>
      <c r="AY482" s="593"/>
      <c r="BB482" s="758">
        <v>0.4</v>
      </c>
      <c r="BC482" s="593">
        <v>3</v>
      </c>
      <c r="BF482" s="758">
        <v>0.4</v>
      </c>
      <c r="BG482" s="593">
        <v>4</v>
      </c>
    </row>
    <row r="483" spans="1:81" s="550" customFormat="1" ht="12.75" hidden="1" customHeight="1">
      <c r="C483" s="770" t="s">
        <v>1519</v>
      </c>
      <c r="F483" s="771" t="s">
        <v>1520</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1504</v>
      </c>
      <c r="AX483" s="637">
        <v>5</v>
      </c>
      <c r="AY483" s="593"/>
      <c r="BB483" s="758">
        <v>0.6</v>
      </c>
      <c r="BC483" s="593">
        <v>4</v>
      </c>
      <c r="BF483" s="758">
        <v>0.6</v>
      </c>
      <c r="BG483" s="593">
        <v>5</v>
      </c>
    </row>
    <row r="484" spans="1:81" s="550" customFormat="1" ht="12.75" hidden="1" customHeight="1">
      <c r="C484" s="751"/>
      <c r="D484" s="730"/>
      <c r="E484" s="772"/>
      <c r="F484" s="771" t="s">
        <v>1521</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1522</v>
      </c>
      <c r="G485" s="550"/>
      <c r="H485" s="550"/>
      <c r="I485" s="771"/>
      <c r="J485" s="771"/>
      <c r="K485" s="771"/>
      <c r="L485" s="771"/>
      <c r="M485" s="771"/>
      <c r="N485" s="771"/>
      <c r="O485" s="771"/>
      <c r="P485" s="771"/>
      <c r="Q485" s="771"/>
      <c r="R485" s="771"/>
      <c r="S485" s="771"/>
      <c r="T485" s="771"/>
      <c r="U485" s="771"/>
      <c r="V485" s="2615" t="s">
        <v>591</v>
      </c>
      <c r="W485" s="2615"/>
      <c r="X485" s="2615"/>
      <c r="Y485" s="771"/>
      <c r="Z485" s="771"/>
      <c r="AA485" s="771"/>
      <c r="AB485" s="771"/>
      <c r="AC485" s="771"/>
      <c r="AD485" s="609"/>
      <c r="AE485" s="609"/>
      <c r="AF485" s="609"/>
      <c r="AG485" s="613">
        <f>IF(AND($C$482="Yes",$V$487="N/A",$V$492="N/A",$V$496="N/A",$V$498="N/A"),(VLOOKUP(V485,$AW$481:$AX$483,2,FALSE)),0)</f>
        <v>0</v>
      </c>
      <c r="AH485" s="640" t="s">
        <v>1327</v>
      </c>
      <c r="AI485" s="551"/>
      <c r="AJ485" s="551"/>
      <c r="AK485" s="732"/>
      <c r="AL485" s="550"/>
      <c r="AM485" s="550"/>
      <c r="AN485" s="597"/>
      <c r="AT485" s="550" t="s">
        <v>591</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1523</v>
      </c>
      <c r="G487" s="550"/>
      <c r="H487" s="550"/>
      <c r="I487" s="771"/>
      <c r="J487" s="771"/>
      <c r="K487" s="771"/>
      <c r="L487" s="771"/>
      <c r="M487" s="771"/>
      <c r="N487" s="771"/>
      <c r="O487" s="771"/>
      <c r="P487" s="771"/>
      <c r="Q487" s="771"/>
      <c r="R487" s="771"/>
      <c r="S487" s="771"/>
      <c r="T487" s="771"/>
      <c r="U487" s="771"/>
      <c r="V487" s="2615" t="s">
        <v>591</v>
      </c>
      <c r="W487" s="2615"/>
      <c r="X487" s="2615"/>
      <c r="Y487" s="771"/>
      <c r="Z487" s="771"/>
      <c r="AA487" s="771"/>
      <c r="AB487" s="771"/>
      <c r="AC487" s="771"/>
      <c r="AD487" s="609"/>
      <c r="AE487" s="609"/>
      <c r="AF487" s="609"/>
      <c r="AG487" s="613">
        <f>IF(AND($C$482="Yes",$V$485="N/A", $V$492="N/A",$V$496="N/A",$V$498="N/A"),(VLOOKUP(V487,$AT$481:$AU$483,2,FALSE)),0)</f>
        <v>0</v>
      </c>
      <c r="AH487" s="640" t="s">
        <v>1327</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591</v>
      </c>
      <c r="AP488" s="550">
        <v>0</v>
      </c>
    </row>
    <row r="489" spans="1:81" s="550" customFormat="1" ht="12.75" hidden="1" customHeight="1">
      <c r="C489" s="762"/>
      <c r="E489" s="763"/>
      <c r="F489" s="776" t="s">
        <v>1524</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1525</v>
      </c>
      <c r="AP489" s="637">
        <v>2</v>
      </c>
    </row>
    <row r="490" spans="1:81" s="550" customFormat="1" ht="12.75" hidden="1" customHeight="1">
      <c r="C490" s="762"/>
      <c r="F490" s="609" t="s">
        <v>1526</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1527</v>
      </c>
      <c r="AP490" s="550">
        <v>2</v>
      </c>
    </row>
    <row r="491" spans="1:81" s="596" customFormat="1" ht="12.75" hidden="1" customHeight="1">
      <c r="A491" s="550"/>
      <c r="B491" s="550"/>
      <c r="C491" s="739"/>
      <c r="D491" s="570"/>
      <c r="E491" s="570"/>
      <c r="F491" s="609" t="s">
        <v>1528</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1529</v>
      </c>
      <c r="AP491" s="550">
        <v>2</v>
      </c>
    </row>
    <row r="492" spans="1:81" s="550" customFormat="1" ht="12.75" hidden="1" customHeight="1">
      <c r="C492" s="777"/>
      <c r="F492" s="775" t="s">
        <v>1530</v>
      </c>
      <c r="M492" s="763"/>
      <c r="N492" s="763"/>
      <c r="O492" s="763"/>
      <c r="P492" s="763"/>
      <c r="Q492" s="551"/>
      <c r="R492" s="551"/>
      <c r="S492" s="551"/>
      <c r="T492" s="551"/>
      <c r="U492" s="551"/>
      <c r="V492" s="2615" t="s">
        <v>591</v>
      </c>
      <c r="W492" s="2615"/>
      <c r="X492" s="2615"/>
      <c r="Y492" s="551"/>
      <c r="Z492" s="551"/>
      <c r="AA492" s="551"/>
      <c r="AB492" s="551"/>
      <c r="AC492" s="551"/>
      <c r="AG492" s="613">
        <f>IF(AND($C$482="Yes",$V$485="N/A",$V$487="N/A", $V$496="N/A",$V$498="N/A"),(VLOOKUP($V$492,$AT$485:$AU$487,2,FALSE)),0)</f>
        <v>0</v>
      </c>
      <c r="AH492" s="640" t="s">
        <v>1327</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1531</v>
      </c>
      <c r="D494" s="714"/>
      <c r="E494" s="714"/>
      <c r="F494" s="780" t="s">
        <v>1532</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591</v>
      </c>
      <c r="AP494" s="550">
        <v>0</v>
      </c>
      <c r="AQ494" s="539"/>
    </row>
    <row r="495" spans="1:81" s="596" customFormat="1" ht="12.75" hidden="1" customHeight="1">
      <c r="A495" s="550"/>
      <c r="B495" s="550"/>
      <c r="C495" s="781"/>
      <c r="D495" s="2605"/>
      <c r="E495" s="2605"/>
      <c r="F495" s="771" t="s">
        <v>1533</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1534</v>
      </c>
      <c r="AP495" s="637">
        <v>5</v>
      </c>
      <c r="AQ495" s="539"/>
    </row>
    <row r="496" spans="1:81" s="570" customFormat="1" ht="12.75" hidden="1" customHeight="1">
      <c r="A496" s="679"/>
      <c r="B496" s="550"/>
      <c r="C496" s="762"/>
      <c r="D496" s="550"/>
      <c r="E496" s="550"/>
      <c r="F496" s="782" t="s">
        <v>1522</v>
      </c>
      <c r="G496" s="550"/>
      <c r="H496" s="550"/>
      <c r="I496" s="550"/>
      <c r="J496" s="550"/>
      <c r="K496" s="550"/>
      <c r="L496" s="550"/>
      <c r="M496" s="550"/>
      <c r="N496" s="550"/>
      <c r="O496" s="550"/>
      <c r="P496" s="550"/>
      <c r="Q496" s="550"/>
      <c r="R496" s="550"/>
      <c r="S496" s="550"/>
      <c r="T496" s="550"/>
      <c r="U496" s="550"/>
      <c r="V496" s="2615" t="s">
        <v>591</v>
      </c>
      <c r="W496" s="2615"/>
      <c r="X496" s="2615"/>
      <c r="Y496" s="550"/>
      <c r="Z496" s="550"/>
      <c r="AA496" s="550"/>
      <c r="AB496" s="550"/>
      <c r="AC496" s="550"/>
      <c r="AD496" s="550"/>
      <c r="AE496" s="550"/>
      <c r="AF496" s="550"/>
      <c r="AG496" s="613">
        <f>IF(AND($C$482="Yes",$V$485="N/A",V487="N/A",$V$492="N/A",$V$498="N/A"),(VLOOKUP($V$496,$BB$481:$BC$484,2,FALSE)),0)</f>
        <v>0</v>
      </c>
      <c r="AH496" s="640" t="s">
        <v>1327</v>
      </c>
      <c r="AI496" s="551"/>
      <c r="AJ496" s="550"/>
      <c r="AK496" s="732"/>
      <c r="AL496" s="550"/>
      <c r="AM496" s="550"/>
      <c r="AN496" s="684"/>
      <c r="AO496" s="550" t="s">
        <v>1535</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1536</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1523</v>
      </c>
      <c r="G498" s="766"/>
      <c r="H498" s="766"/>
      <c r="I498" s="727"/>
      <c r="J498" s="727"/>
      <c r="K498" s="727"/>
      <c r="L498" s="727"/>
      <c r="M498" s="727"/>
      <c r="N498" s="727"/>
      <c r="O498" s="727"/>
      <c r="P498" s="727"/>
      <c r="Q498" s="727"/>
      <c r="R498" s="727"/>
      <c r="S498" s="727"/>
      <c r="T498" s="727"/>
      <c r="U498" s="727"/>
      <c r="V498" s="2615" t="s">
        <v>591</v>
      </c>
      <c r="W498" s="2615"/>
      <c r="X498" s="2615"/>
      <c r="Y498" s="727"/>
      <c r="Z498" s="727"/>
      <c r="AA498" s="727"/>
      <c r="AB498" s="727"/>
      <c r="AC498" s="727"/>
      <c r="AD498" s="727"/>
      <c r="AE498" s="727"/>
      <c r="AF498" s="727"/>
      <c r="AG498" s="783">
        <f>IF(AND($C$482="Yes",$V$485="N/A",$V$487="N/A",$V$492="N/A",$V$496="N/A"),(VLOOKUP($V$498,$BF$481:$BG$483,2,FALSE)),0)</f>
        <v>0</v>
      </c>
      <c r="AH498" s="768" t="s">
        <v>1327</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1537</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540" t="s">
        <v>591</v>
      </c>
      <c r="D501" s="2541"/>
      <c r="E501" s="761" t="s">
        <v>507</v>
      </c>
      <c r="F501" s="2542" t="s">
        <v>1516</v>
      </c>
      <c r="G501" s="2542"/>
      <c r="H501" s="2542"/>
      <c r="I501" s="2542"/>
      <c r="J501" s="2542"/>
      <c r="K501" s="2542"/>
      <c r="L501" s="2542"/>
      <c r="M501" s="2542"/>
      <c r="N501" s="2542"/>
      <c r="O501" s="2542"/>
      <c r="P501" s="2542"/>
      <c r="Q501" s="2542"/>
      <c r="R501" s="2542"/>
      <c r="S501" s="2542"/>
      <c r="T501" s="2542"/>
      <c r="U501" s="2542"/>
      <c r="V501" s="2542"/>
      <c r="W501" s="2542"/>
      <c r="X501" s="2542"/>
      <c r="Y501" s="2542"/>
      <c r="Z501" s="2542"/>
      <c r="AA501" s="2542"/>
      <c r="AB501" s="2542"/>
      <c r="AC501" s="2542"/>
      <c r="AD501" s="2542"/>
      <c r="AE501" s="2542"/>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43"/>
      <c r="G502" s="2543"/>
      <c r="H502" s="2543"/>
      <c r="I502" s="2543"/>
      <c r="J502" s="2543"/>
      <c r="K502" s="2543"/>
      <c r="L502" s="2543"/>
      <c r="M502" s="2543"/>
      <c r="N502" s="2543"/>
      <c r="O502" s="2543"/>
      <c r="P502" s="2543"/>
      <c r="Q502" s="2543"/>
      <c r="R502" s="2543"/>
      <c r="S502" s="2543"/>
      <c r="T502" s="2543"/>
      <c r="U502" s="2543"/>
      <c r="V502" s="2543"/>
      <c r="W502" s="2543"/>
      <c r="X502" s="2543"/>
      <c r="Y502" s="2543"/>
      <c r="Z502" s="2543"/>
      <c r="AA502" s="2543"/>
      <c r="AB502" s="2543"/>
      <c r="AC502" s="2543"/>
      <c r="AD502" s="2543"/>
      <c r="AE502" s="2543"/>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611" t="s">
        <v>591</v>
      </c>
      <c r="G503" s="2611"/>
      <c r="H503" s="2611"/>
      <c r="I503" s="2611"/>
      <c r="J503" s="2611"/>
      <c r="K503" s="2611"/>
      <c r="L503" s="2611"/>
      <c r="M503" s="2611"/>
      <c r="N503" s="2611"/>
      <c r="O503" s="2611"/>
      <c r="P503" s="2611"/>
      <c r="Q503" s="2611"/>
      <c r="R503" s="2611"/>
      <c r="S503" s="2611"/>
      <c r="T503" s="2611"/>
      <c r="U503" s="2611"/>
      <c r="V503" s="2611"/>
      <c r="W503" s="2611"/>
      <c r="X503" s="2611"/>
      <c r="Y503" s="2611"/>
      <c r="Z503" s="2611"/>
      <c r="AA503" s="766"/>
      <c r="AB503" s="658"/>
      <c r="AC503" s="658"/>
      <c r="AD503" s="727"/>
      <c r="AE503" s="727"/>
      <c r="AF503" s="727"/>
      <c r="AG503" s="767">
        <f>IF($C$501="Yes",(VLOOKUP($F$503,$AO$471:$AP$479,2,FALSE)),0)</f>
        <v>0</v>
      </c>
      <c r="AH503" s="768" t="s">
        <v>1327</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540" t="s">
        <v>591</v>
      </c>
      <c r="D505" s="2541"/>
      <c r="E505" s="761" t="s">
        <v>757</v>
      </c>
      <c r="F505" s="2612" t="s">
        <v>1538</v>
      </c>
      <c r="G505" s="2612"/>
      <c r="H505" s="2612"/>
      <c r="I505" s="2612"/>
      <c r="J505" s="2612"/>
      <c r="K505" s="2612"/>
      <c r="L505" s="2612"/>
      <c r="M505" s="2612"/>
      <c r="N505" s="2612"/>
      <c r="O505" s="2612"/>
      <c r="P505" s="2612"/>
      <c r="Q505" s="2612"/>
      <c r="R505" s="2612"/>
      <c r="S505" s="2612"/>
      <c r="T505" s="2612"/>
      <c r="U505" s="2612"/>
      <c r="V505" s="2612"/>
      <c r="W505" s="2612"/>
      <c r="X505" s="2612"/>
      <c r="Y505" s="2612"/>
      <c r="Z505" s="2612"/>
      <c r="AA505" s="2612"/>
      <c r="AB505" s="2612"/>
      <c r="AC505" s="2612"/>
      <c r="AD505" s="2612"/>
      <c r="AE505" s="2612"/>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613"/>
      <c r="G506" s="2613"/>
      <c r="H506" s="2613"/>
      <c r="I506" s="2613"/>
      <c r="J506" s="2613"/>
      <c r="K506" s="2613"/>
      <c r="L506" s="2613"/>
      <c r="M506" s="2613"/>
      <c r="N506" s="2613"/>
      <c r="O506" s="2613"/>
      <c r="P506" s="2613"/>
      <c r="Q506" s="2613"/>
      <c r="R506" s="2613"/>
      <c r="S506" s="2613"/>
      <c r="T506" s="2613"/>
      <c r="U506" s="2613"/>
      <c r="V506" s="2613"/>
      <c r="W506" s="2613"/>
      <c r="X506" s="2613"/>
      <c r="Y506" s="2613"/>
      <c r="Z506" s="2613"/>
      <c r="AA506" s="2613"/>
      <c r="AB506" s="2613"/>
      <c r="AC506" s="2613"/>
      <c r="AD506" s="2613"/>
      <c r="AE506" s="2613"/>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1539</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614" t="s">
        <v>591</v>
      </c>
      <c r="G508" s="2614"/>
      <c r="H508" s="2614"/>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1327</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540" t="s">
        <v>591</v>
      </c>
      <c r="D510" s="2541"/>
      <c r="E510" s="761" t="s">
        <v>1540</v>
      </c>
      <c r="F510" s="780" t="s">
        <v>1541</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604"/>
      <c r="D512" s="2605"/>
      <c r="E512" s="772"/>
      <c r="F512" s="551" t="s">
        <v>1542</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1327</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606" t="s">
        <v>591</v>
      </c>
      <c r="H513" s="2606"/>
      <c r="I513" s="2606"/>
      <c r="J513" s="2606"/>
      <c r="K513" s="2606"/>
      <c r="L513" s="2606"/>
      <c r="M513" s="2606"/>
      <c r="N513" s="2606"/>
      <c r="O513" s="2606"/>
      <c r="P513" s="2606"/>
      <c r="Q513" s="2606"/>
      <c r="R513" s="2606"/>
      <c r="S513" s="2606"/>
      <c r="T513" s="2606"/>
      <c r="U513" s="2606"/>
      <c r="V513" s="2606"/>
      <c r="W513" s="2606"/>
      <c r="X513" s="2606"/>
      <c r="Y513" s="2606"/>
      <c r="Z513" s="2606"/>
      <c r="AA513" s="2606"/>
      <c r="AB513" s="2606"/>
      <c r="AC513" s="2606"/>
      <c r="AD513" s="2606"/>
      <c r="AE513" s="2606"/>
      <c r="AF513" s="2606"/>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44" t="s">
        <v>591</v>
      </c>
      <c r="D515" s="2545"/>
      <c r="F515" s="551" t="s">
        <v>1543</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1327</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1544</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1545</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44" t="s">
        <v>591</v>
      </c>
      <c r="D519" s="2545"/>
      <c r="F519" s="795" t="s">
        <v>1546</v>
      </c>
      <c r="G519" s="2518" t="s">
        <v>1547</v>
      </c>
      <c r="H519" s="2518"/>
      <c r="I519" s="2518"/>
      <c r="J519" s="2518"/>
      <c r="K519" s="2518"/>
      <c r="L519" s="2518"/>
      <c r="M519" s="2518"/>
      <c r="N519" s="2518"/>
      <c r="O519" s="2518"/>
      <c r="P519" s="2518"/>
      <c r="Q519" s="2518"/>
      <c r="R519" s="2518"/>
      <c r="S519" s="2518"/>
      <c r="T519" s="2518"/>
      <c r="U519" s="2518"/>
      <c r="V519" s="2518"/>
      <c r="W519" s="2518"/>
      <c r="X519" s="2518"/>
      <c r="Y519" s="2518"/>
      <c r="Z519" s="2518"/>
      <c r="AA519" s="2518"/>
      <c r="AB519" s="2518"/>
      <c r="AC519" s="2518"/>
      <c r="AD519" s="2518"/>
      <c r="AE519" s="2518"/>
      <c r="AF519" s="2518"/>
      <c r="AG519" s="613">
        <f>IF(AND($C$519="Yes",$C$510="Yes"),2,0)</f>
        <v>0</v>
      </c>
      <c r="AH519" s="640" t="s">
        <v>1327</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537"/>
      <c r="H520" s="2537"/>
      <c r="I520" s="2537"/>
      <c r="J520" s="2537"/>
      <c r="K520" s="2537"/>
      <c r="L520" s="2537"/>
      <c r="M520" s="2537"/>
      <c r="N520" s="2537"/>
      <c r="O520" s="2537"/>
      <c r="P520" s="2537"/>
      <c r="Q520" s="2537"/>
      <c r="R520" s="2537"/>
      <c r="S520" s="2537"/>
      <c r="T520" s="2537"/>
      <c r="U520" s="2537"/>
      <c r="V520" s="2537"/>
      <c r="W520" s="2537"/>
      <c r="X520" s="2537"/>
      <c r="Y520" s="2537"/>
      <c r="Z520" s="2537"/>
      <c r="AA520" s="2537"/>
      <c r="AB520" s="2537"/>
      <c r="AC520" s="2537"/>
      <c r="AD520" s="2537"/>
      <c r="AE520" s="2537"/>
      <c r="AF520" s="2537"/>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1548</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46" t="s">
        <v>591</v>
      </c>
      <c r="D523" s="2547"/>
      <c r="E523" s="802" t="s">
        <v>1549</v>
      </c>
      <c r="F523" s="771" t="s">
        <v>1550</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1327</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48" t="s">
        <v>591</v>
      </c>
      <c r="G524" s="2548"/>
      <c r="H524" s="2548"/>
      <c r="I524" s="2548"/>
      <c r="J524" s="2548"/>
      <c r="K524" s="2548"/>
      <c r="L524" s="2548"/>
      <c r="M524" s="2548"/>
      <c r="N524" s="2548"/>
      <c r="O524" s="2548"/>
      <c r="P524" s="2548"/>
      <c r="Q524" s="2548"/>
      <c r="R524" s="2548"/>
      <c r="S524" s="2548"/>
      <c r="T524" s="2548"/>
      <c r="U524" s="2548"/>
      <c r="V524" s="2548"/>
      <c r="W524" s="2548"/>
      <c r="X524" s="2548"/>
      <c r="Y524" s="2548"/>
      <c r="Z524" s="2548"/>
      <c r="AA524" s="2548"/>
      <c r="AB524" s="2548"/>
      <c r="AC524" s="2548"/>
      <c r="AD524" s="2548"/>
      <c r="AE524" s="2548"/>
      <c r="AF524" s="2548"/>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49"/>
      <c r="G525" s="2549"/>
      <c r="H525" s="2549"/>
      <c r="I525" s="2549"/>
      <c r="J525" s="2549"/>
      <c r="K525" s="2549"/>
      <c r="L525" s="2549"/>
      <c r="M525" s="2549"/>
      <c r="N525" s="2549"/>
      <c r="O525" s="2549"/>
      <c r="P525" s="2549"/>
      <c r="Q525" s="2549"/>
      <c r="R525" s="2549"/>
      <c r="S525" s="2549"/>
      <c r="T525" s="2549"/>
      <c r="U525" s="2549"/>
      <c r="V525" s="2549"/>
      <c r="W525" s="2549"/>
      <c r="X525" s="2549"/>
      <c r="Y525" s="2549"/>
      <c r="Z525" s="2549"/>
      <c r="AA525" s="2549"/>
      <c r="AB525" s="2549"/>
      <c r="AC525" s="2549"/>
      <c r="AD525" s="2549"/>
      <c r="AE525" s="2549"/>
      <c r="AF525" s="2549"/>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1551</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1552</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2028</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1553</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2029</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1554</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1555</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1556</v>
      </c>
      <c r="AK535" s="2474">
        <f>SUM(AG479:AG524)</f>
        <v>0</v>
      </c>
      <c r="AL535" s="2475"/>
      <c r="AM535" s="2476"/>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5" thickTop="1"/>
    <row r="538" spans="1:81" s="550" customFormat="1" ht="12.75" customHeight="1">
      <c r="A538" s="539" t="s">
        <v>1557</v>
      </c>
      <c r="B538" s="539" t="s">
        <v>1558</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04" t="s">
        <v>1559</v>
      </c>
      <c r="AF538" s="2404"/>
      <c r="AG538" s="2404"/>
      <c r="AH538" s="2404"/>
      <c r="AI538" s="2404"/>
      <c r="AJ538" s="2404"/>
      <c r="AK538" s="2404"/>
      <c r="AL538" s="595"/>
      <c r="AM538" s="595"/>
      <c r="AN538" s="597"/>
    </row>
    <row r="539" spans="1:81" s="550" customFormat="1" ht="12.75" customHeight="1">
      <c r="A539" s="539"/>
      <c r="B539" s="539" t="s">
        <v>1323</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71" t="s">
        <v>545</v>
      </c>
      <c r="D541" s="2471"/>
      <c r="E541" s="551"/>
      <c r="F541" s="2598" t="s">
        <v>1560</v>
      </c>
      <c r="G541" s="2599"/>
      <c r="H541" s="2599"/>
      <c r="I541" s="2599"/>
      <c r="J541" s="2599"/>
      <c r="K541" s="2599"/>
      <c r="L541" s="2599"/>
      <c r="M541" s="2599"/>
      <c r="N541" s="2599"/>
      <c r="O541" s="2599"/>
      <c r="P541" s="2599"/>
      <c r="Q541" s="2599"/>
      <c r="R541" s="2599"/>
      <c r="S541" s="2599"/>
      <c r="T541" s="2599"/>
      <c r="U541" s="2599"/>
      <c r="V541" s="2599"/>
      <c r="W541" s="2599"/>
      <c r="X541" s="2599"/>
      <c r="Y541" s="2599"/>
      <c r="Z541" s="2599"/>
      <c r="AA541" s="2599"/>
      <c r="AB541" s="2599"/>
      <c r="AC541" s="2599"/>
      <c r="AD541" s="2599"/>
      <c r="AE541" s="2599"/>
      <c r="AF541" s="2599"/>
      <c r="AG541" s="2599"/>
      <c r="AH541" s="2599"/>
      <c r="AI541" s="2599"/>
      <c r="AJ541" s="2599"/>
      <c r="AK541" s="2599"/>
      <c r="AL541" s="2600"/>
      <c r="AM541" s="595"/>
      <c r="AN541" s="597"/>
    </row>
    <row r="542" spans="1:81" s="550" customFormat="1" ht="12.75" customHeight="1">
      <c r="A542" s="539"/>
      <c r="B542" s="539"/>
      <c r="C542" s="551"/>
      <c r="D542" s="551"/>
      <c r="E542" s="551"/>
      <c r="F542" s="2601"/>
      <c r="G542" s="2602"/>
      <c r="H542" s="2602"/>
      <c r="I542" s="2602"/>
      <c r="J542" s="2602"/>
      <c r="K542" s="2602"/>
      <c r="L542" s="2602"/>
      <c r="M542" s="2602"/>
      <c r="N542" s="2602"/>
      <c r="O542" s="2602"/>
      <c r="P542" s="2602"/>
      <c r="Q542" s="2602"/>
      <c r="R542" s="2602"/>
      <c r="S542" s="2602"/>
      <c r="T542" s="2602"/>
      <c r="U542" s="2602"/>
      <c r="V542" s="2602"/>
      <c r="W542" s="2602"/>
      <c r="X542" s="2602"/>
      <c r="Y542" s="2602"/>
      <c r="Z542" s="2602"/>
      <c r="AA542" s="2602"/>
      <c r="AB542" s="2602"/>
      <c r="AC542" s="2602"/>
      <c r="AD542" s="2602"/>
      <c r="AE542" s="2602"/>
      <c r="AF542" s="2602"/>
      <c r="AG542" s="2602"/>
      <c r="AH542" s="2602"/>
      <c r="AI542" s="2602"/>
      <c r="AJ542" s="2602"/>
      <c r="AK542" s="2602"/>
      <c r="AL542" s="2603"/>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71" t="s">
        <v>591</v>
      </c>
      <c r="D544" s="2471"/>
      <c r="E544" s="806"/>
      <c r="F544" s="644" t="s">
        <v>1561</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93" t="s">
        <v>1562</v>
      </c>
      <c r="G545" s="2494"/>
      <c r="H545" s="2494"/>
      <c r="I545" s="2494"/>
      <c r="J545" s="2494"/>
      <c r="K545" s="2494"/>
      <c r="L545" s="2494"/>
      <c r="M545" s="2494"/>
      <c r="N545" s="2494"/>
      <c r="O545" s="2494"/>
      <c r="P545" s="2494"/>
      <c r="Q545" s="2494"/>
      <c r="R545" s="2494"/>
      <c r="S545" s="2494"/>
      <c r="T545" s="2494"/>
      <c r="U545" s="2494"/>
      <c r="V545" s="2494"/>
      <c r="W545" s="2494"/>
      <c r="X545" s="2494"/>
      <c r="Y545" s="2494"/>
      <c r="Z545" s="2494"/>
      <c r="AA545" s="2494"/>
      <c r="AB545" s="2494"/>
      <c r="AC545" s="2494"/>
      <c r="AD545" s="2494"/>
      <c r="AE545" s="2494"/>
      <c r="AF545" s="2494"/>
      <c r="AG545" s="2494"/>
      <c r="AH545" s="2494"/>
      <c r="AI545" s="2494"/>
      <c r="AJ545" s="2494"/>
      <c r="AK545" s="2494"/>
      <c r="AL545" s="2495"/>
      <c r="AM545" s="595"/>
      <c r="AN545" s="597"/>
      <c r="AS545" s="870"/>
      <c r="AT545" s="870"/>
      <c r="AU545" s="870"/>
      <c r="AV545" s="870"/>
      <c r="AW545" s="870"/>
    </row>
    <row r="546" spans="1:49" s="550" customFormat="1" ht="12.75" customHeight="1">
      <c r="B546" s="806"/>
      <c r="C546" s="806"/>
      <c r="D546" s="806"/>
      <c r="E546" s="806"/>
      <c r="F546" s="2493"/>
      <c r="G546" s="2494"/>
      <c r="H546" s="2494"/>
      <c r="I546" s="2494"/>
      <c r="J546" s="2494"/>
      <c r="K546" s="2494"/>
      <c r="L546" s="2494"/>
      <c r="M546" s="2494"/>
      <c r="N546" s="2494"/>
      <c r="O546" s="2494"/>
      <c r="P546" s="2494"/>
      <c r="Q546" s="2494"/>
      <c r="R546" s="2494"/>
      <c r="S546" s="2494"/>
      <c r="T546" s="2494"/>
      <c r="U546" s="2494"/>
      <c r="V546" s="2494"/>
      <c r="W546" s="2494"/>
      <c r="X546" s="2494"/>
      <c r="Y546" s="2494"/>
      <c r="Z546" s="2494"/>
      <c r="AA546" s="2494"/>
      <c r="AB546" s="2494"/>
      <c r="AC546" s="2494"/>
      <c r="AD546" s="2494"/>
      <c r="AE546" s="2494"/>
      <c r="AF546" s="2494"/>
      <c r="AG546" s="2494"/>
      <c r="AH546" s="2494"/>
      <c r="AI546" s="2494"/>
      <c r="AJ546" s="2494"/>
      <c r="AK546" s="2494"/>
      <c r="AL546" s="2495"/>
      <c r="AM546" s="595"/>
      <c r="AN546" s="597"/>
    </row>
    <row r="547" spans="1:49" s="550" customFormat="1" ht="12.75" customHeight="1">
      <c r="B547" s="806"/>
      <c r="C547" s="806"/>
      <c r="D547" s="806"/>
      <c r="E547" s="806"/>
      <c r="F547" s="811" t="s">
        <v>2030</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93" t="s">
        <v>1563</v>
      </c>
      <c r="G548" s="2494"/>
      <c r="H548" s="2494"/>
      <c r="I548" s="2494"/>
      <c r="J548" s="2494"/>
      <c r="K548" s="2494"/>
      <c r="L548" s="2494"/>
      <c r="M548" s="2494"/>
      <c r="N548" s="2494"/>
      <c r="O548" s="2494"/>
      <c r="P548" s="2494"/>
      <c r="Q548" s="2494"/>
      <c r="R548" s="2494"/>
      <c r="S548" s="2494"/>
      <c r="T548" s="2494"/>
      <c r="U548" s="2494"/>
      <c r="V548" s="2494"/>
      <c r="W548" s="2494"/>
      <c r="X548" s="2494"/>
      <c r="Y548" s="2494"/>
      <c r="Z548" s="2494"/>
      <c r="AA548" s="2494"/>
      <c r="AB548" s="2494"/>
      <c r="AC548" s="2494"/>
      <c r="AD548" s="2494"/>
      <c r="AE548" s="2494"/>
      <c r="AF548" s="2494"/>
      <c r="AG548" s="2494"/>
      <c r="AH548" s="2494"/>
      <c r="AI548" s="2494"/>
      <c r="AJ548" s="2494"/>
      <c r="AK548" s="2494"/>
      <c r="AL548" s="813"/>
      <c r="AM548" s="595"/>
      <c r="AN548" s="597"/>
    </row>
    <row r="549" spans="1:49" s="550" customFormat="1" ht="12.75" customHeight="1">
      <c r="B549" s="806"/>
      <c r="C549" s="806"/>
      <c r="D549" s="806"/>
      <c r="E549" s="806"/>
      <c r="F549" s="2496"/>
      <c r="G549" s="2497"/>
      <c r="H549" s="2497"/>
      <c r="I549" s="2497"/>
      <c r="J549" s="2497"/>
      <c r="K549" s="2497"/>
      <c r="L549" s="2497"/>
      <c r="M549" s="2497"/>
      <c r="N549" s="2497"/>
      <c r="O549" s="2497"/>
      <c r="P549" s="2497"/>
      <c r="Q549" s="2497"/>
      <c r="R549" s="2497"/>
      <c r="S549" s="2497"/>
      <c r="T549" s="2497"/>
      <c r="U549" s="2497"/>
      <c r="V549" s="2497"/>
      <c r="W549" s="2497"/>
      <c r="X549" s="2497"/>
      <c r="Y549" s="2497"/>
      <c r="Z549" s="2497"/>
      <c r="AA549" s="2497"/>
      <c r="AB549" s="2497"/>
      <c r="AC549" s="2497"/>
      <c r="AD549" s="2497"/>
      <c r="AE549" s="2497"/>
      <c r="AF549" s="2497"/>
      <c r="AG549" s="2497"/>
      <c r="AH549" s="2497"/>
      <c r="AI549" s="2497"/>
      <c r="AJ549" s="2497"/>
      <c r="AK549" s="2497"/>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620">
        <f>Application!AJ992</f>
        <v>112016242</v>
      </c>
      <c r="AQ550" s="2620"/>
      <c r="AR550" s="2620"/>
      <c r="AS550" s="550" t="s">
        <v>2169</v>
      </c>
    </row>
    <row r="551" spans="1:49" s="550" customFormat="1" ht="12.75" customHeight="1">
      <c r="A551" s="498"/>
      <c r="B551" s="447" t="s">
        <v>1564</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77">
        <f>'Sources and Uses Budget'!S107+'Sources and Uses Budget'!T107</f>
        <v>84482680</v>
      </c>
      <c r="AG551" s="2477"/>
      <c r="AH551" s="2477"/>
      <c r="AI551" s="2477"/>
      <c r="AJ551" s="2477"/>
      <c r="AK551" s="595"/>
      <c r="AL551" s="595"/>
      <c r="AM551" s="595"/>
      <c r="AN551" s="597"/>
    </row>
    <row r="552" spans="1:49" s="550" customFormat="1" ht="12.75" customHeight="1">
      <c r="A552" s="625"/>
      <c r="B552" s="625" t="s">
        <v>1565</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625">
        <f>IFERROR(AP559,0)</f>
        <v>156822738.59999999</v>
      </c>
      <c r="AG552" s="2625"/>
      <c r="AH552" s="2625"/>
      <c r="AI552" s="2625"/>
      <c r="AJ552" s="2625"/>
      <c r="AK552" s="595"/>
      <c r="AL552" s="595"/>
      <c r="AM552" s="595"/>
      <c r="AN552" s="597"/>
      <c r="AP552" s="2620">
        <f>Application!AJ1045</f>
        <v>11201624.200000001</v>
      </c>
      <c r="AQ552" s="2620"/>
      <c r="AR552" s="2620"/>
      <c r="AS552" s="550" t="s">
        <v>1864</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626">
        <f>IFERROR(ROUNDDOWN(IF(C544="YES",((1-(AF551/AF552))*2),(1-(AF551/AF552))),2),0)</f>
        <v>0.46</v>
      </c>
      <c r="AG553" s="2626"/>
      <c r="AH553" s="2626"/>
      <c r="AI553" s="2626"/>
      <c r="AJ553" s="2626"/>
      <c r="AK553" s="595"/>
      <c r="AL553" s="595"/>
      <c r="AM553" s="595"/>
      <c r="AN553" s="597"/>
      <c r="AP553" s="2623">
        <f>Application!AJ1049</f>
        <v>22403248.400000002</v>
      </c>
      <c r="AQ553" s="2623"/>
      <c r="AR553" s="2623"/>
      <c r="AS553" s="550" t="s">
        <v>2170</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619">
        <f>IF(((AP552+AP553)/AP550)&gt;0.8,0.8,((AP552+AP553)/AP550))</f>
        <v>0.3</v>
      </c>
      <c r="AQ554" s="2619"/>
      <c r="AR554" s="2619"/>
      <c r="AS554" s="550" t="s">
        <v>2171</v>
      </c>
    </row>
    <row r="555" spans="1:49" s="550" customFormat="1" ht="12.75" customHeight="1">
      <c r="A555" s="624"/>
      <c r="B555" s="2556" t="s">
        <v>2031</v>
      </c>
      <c r="C555" s="2557"/>
      <c r="D555" s="2557"/>
      <c r="E555" s="2557"/>
      <c r="F555" s="2557"/>
      <c r="G555" s="2557"/>
      <c r="H555" s="2557"/>
      <c r="I555" s="2557"/>
      <c r="J555" s="2557"/>
      <c r="K555" s="2557"/>
      <c r="L555" s="2557"/>
      <c r="M555" s="2557"/>
      <c r="N555" s="2557"/>
      <c r="O555" s="2557"/>
      <c r="P555" s="2557"/>
      <c r="Q555" s="2557"/>
      <c r="R555" s="2557"/>
      <c r="S555" s="2557"/>
      <c r="T555" s="2557"/>
      <c r="U555" s="2557"/>
      <c r="V555" s="2557"/>
      <c r="W555" s="2557"/>
      <c r="X555" s="2557"/>
      <c r="Y555" s="2557"/>
      <c r="Z555" s="2557"/>
      <c r="AA555" s="2557"/>
      <c r="AB555" s="2557"/>
      <c r="AC555" s="2557"/>
      <c r="AD555" s="2557"/>
      <c r="AE555" s="2557"/>
      <c r="AF555" s="2557"/>
      <c r="AG555" s="2557"/>
      <c r="AH555" s="2557"/>
      <c r="AI555" s="2557"/>
      <c r="AJ555" s="2558"/>
      <c r="AK555" s="595"/>
      <c r="AL555" s="595"/>
      <c r="AM555" s="595"/>
      <c r="AN555" s="597"/>
    </row>
    <row r="556" spans="1:49" s="550" customFormat="1" ht="12.75" customHeight="1">
      <c r="A556" s="624"/>
      <c r="B556" s="2559"/>
      <c r="C556" s="2560"/>
      <c r="D556" s="2560"/>
      <c r="E556" s="2560"/>
      <c r="F556" s="2560"/>
      <c r="G556" s="2560"/>
      <c r="H556" s="2560"/>
      <c r="I556" s="2560"/>
      <c r="J556" s="2560"/>
      <c r="K556" s="2560"/>
      <c r="L556" s="2560"/>
      <c r="M556" s="2560"/>
      <c r="N556" s="2560"/>
      <c r="O556" s="2560"/>
      <c r="P556" s="2560"/>
      <c r="Q556" s="2560"/>
      <c r="R556" s="2560"/>
      <c r="S556" s="2560"/>
      <c r="T556" s="2560"/>
      <c r="U556" s="2560"/>
      <c r="V556" s="2560"/>
      <c r="W556" s="2560"/>
      <c r="X556" s="2560"/>
      <c r="Y556" s="2560"/>
      <c r="Z556" s="2560"/>
      <c r="AA556" s="2560"/>
      <c r="AB556" s="2560"/>
      <c r="AC556" s="2560"/>
      <c r="AD556" s="2560"/>
      <c r="AE556" s="2560"/>
      <c r="AF556" s="2560"/>
      <c r="AG556" s="2560"/>
      <c r="AH556" s="2560"/>
      <c r="AI556" s="2560"/>
      <c r="AJ556" s="2561"/>
      <c r="AK556" s="595"/>
      <c r="AL556" s="595"/>
      <c r="AM556" s="595"/>
      <c r="AN556" s="597"/>
      <c r="AP556" s="2620">
        <f>AP557-AP552-AP553</f>
        <v>123217866</v>
      </c>
      <c r="AQ556" s="2529"/>
      <c r="AR556" s="2529"/>
      <c r="AS556" s="550" t="s">
        <v>2173</v>
      </c>
    </row>
    <row r="557" spans="1:49" s="550" customFormat="1" ht="12.75" customHeight="1">
      <c r="A557" s="624"/>
      <c r="B557" s="2562"/>
      <c r="C557" s="2563"/>
      <c r="D557" s="2563"/>
      <c r="E557" s="2563"/>
      <c r="F557" s="2563"/>
      <c r="G557" s="2563"/>
      <c r="H557" s="2563"/>
      <c r="I557" s="2563"/>
      <c r="J557" s="2563"/>
      <c r="K557" s="2563"/>
      <c r="L557" s="2563"/>
      <c r="M557" s="2563"/>
      <c r="N557" s="2563"/>
      <c r="O557" s="2563"/>
      <c r="P557" s="2563"/>
      <c r="Q557" s="2563"/>
      <c r="R557" s="2563"/>
      <c r="S557" s="2563"/>
      <c r="T557" s="2563"/>
      <c r="U557" s="2563"/>
      <c r="V557" s="2563"/>
      <c r="W557" s="2563"/>
      <c r="X557" s="2563"/>
      <c r="Y557" s="2563"/>
      <c r="Z557" s="2563"/>
      <c r="AA557" s="2563"/>
      <c r="AB557" s="2563"/>
      <c r="AC557" s="2563"/>
      <c r="AD557" s="2563"/>
      <c r="AE557" s="2563"/>
      <c r="AF557" s="2563"/>
      <c r="AG557" s="2563"/>
      <c r="AH557" s="2563"/>
      <c r="AI557" s="2563"/>
      <c r="AJ557" s="2564"/>
      <c r="AK557" s="595"/>
      <c r="AL557" s="595"/>
      <c r="AM557" s="595"/>
      <c r="AN557" s="597"/>
      <c r="AP557" s="2620">
        <f>Application!AJ1053</f>
        <v>156822738.59999999</v>
      </c>
      <c r="AQ557" s="2620"/>
      <c r="AR557" s="2620"/>
      <c r="AS557" s="550" t="s">
        <v>2172</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1566</v>
      </c>
      <c r="AK559" s="2565">
        <f>IFERROR(IF(AND(C541="N/A",C544="N/A"),0,IF(AF553=0,0,IF((AF553*100)&gt;12,12,(AF553*100)))),0)</f>
        <v>12</v>
      </c>
      <c r="AL559" s="2565"/>
      <c r="AM559" s="2566"/>
      <c r="AN559" s="597"/>
      <c r="AP559" s="2637">
        <f>AP556+(AP550*AP554)</f>
        <v>156822738.59999999</v>
      </c>
      <c r="AQ559" s="2638"/>
      <c r="AR559" s="2639"/>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2021</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04" t="s">
        <v>1313</v>
      </c>
      <c r="AF562" s="2404"/>
      <c r="AG562" s="2404"/>
      <c r="AH562" s="2404"/>
      <c r="AI562" s="2404"/>
      <c r="AJ562" s="2404"/>
      <c r="AK562" s="2404"/>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494" t="s">
        <v>2022</v>
      </c>
      <c r="C564" s="2494"/>
      <c r="D564" s="2494"/>
      <c r="E564" s="2494"/>
      <c r="F564" s="2494"/>
      <c r="G564" s="2494"/>
      <c r="H564" s="2494"/>
      <c r="I564" s="2494"/>
      <c r="J564" s="2494"/>
      <c r="K564" s="2494"/>
      <c r="L564" s="2494"/>
      <c r="M564" s="2494"/>
      <c r="N564" s="2494"/>
      <c r="O564" s="2494"/>
      <c r="P564" s="2494"/>
      <c r="Q564" s="2494"/>
      <c r="R564" s="2494"/>
      <c r="S564" s="2494"/>
      <c r="T564" s="2494"/>
      <c r="U564" s="2494"/>
      <c r="V564" s="2494"/>
      <c r="W564" s="2494"/>
      <c r="X564" s="2494"/>
      <c r="Y564" s="2494"/>
      <c r="Z564" s="2494"/>
      <c r="AA564" s="2494"/>
      <c r="AB564" s="2494"/>
      <c r="AC564" s="2494"/>
      <c r="AD564" s="2494"/>
      <c r="AE564" s="2494"/>
      <c r="AF564" s="2494"/>
      <c r="AG564" s="2494"/>
      <c r="AH564" s="2494"/>
      <c r="AI564" s="2494"/>
      <c r="AJ564" s="2494"/>
      <c r="AK564" s="642"/>
      <c r="AL564" s="573"/>
      <c r="AM564" s="603"/>
      <c r="AN564" s="597"/>
    </row>
    <row r="565" spans="1:42" s="550" customFormat="1" ht="12.75" customHeight="1">
      <c r="A565" s="603"/>
      <c r="B565" s="2494"/>
      <c r="C565" s="2494"/>
      <c r="D565" s="2494"/>
      <c r="E565" s="2494"/>
      <c r="F565" s="2494"/>
      <c r="G565" s="2494"/>
      <c r="H565" s="2494"/>
      <c r="I565" s="2494"/>
      <c r="J565" s="2494"/>
      <c r="K565" s="2494"/>
      <c r="L565" s="2494"/>
      <c r="M565" s="2494"/>
      <c r="N565" s="2494"/>
      <c r="O565" s="2494"/>
      <c r="P565" s="2494"/>
      <c r="Q565" s="2494"/>
      <c r="R565" s="2494"/>
      <c r="S565" s="2494"/>
      <c r="T565" s="2494"/>
      <c r="U565" s="2494"/>
      <c r="V565" s="2494"/>
      <c r="W565" s="2494"/>
      <c r="X565" s="2494"/>
      <c r="Y565" s="2494"/>
      <c r="Z565" s="2494"/>
      <c r="AA565" s="2494"/>
      <c r="AB565" s="2494"/>
      <c r="AC565" s="2494"/>
      <c r="AD565" s="2494"/>
      <c r="AE565" s="2494"/>
      <c r="AF565" s="2494"/>
      <c r="AG565" s="2494"/>
      <c r="AH565" s="2494"/>
      <c r="AI565" s="2494"/>
      <c r="AJ565" s="2494"/>
      <c r="AK565" s="642"/>
      <c r="AL565" s="573"/>
      <c r="AM565" s="603"/>
      <c r="AN565" s="597"/>
    </row>
    <row r="566" spans="1:42" s="550" customFormat="1" ht="12.75" customHeight="1">
      <c r="A566" s="603"/>
      <c r="B566" s="2494"/>
      <c r="C566" s="2494"/>
      <c r="D566" s="2494"/>
      <c r="E566" s="2494"/>
      <c r="F566" s="2494"/>
      <c r="G566" s="2494"/>
      <c r="H566" s="2494"/>
      <c r="I566" s="2494"/>
      <c r="J566" s="2494"/>
      <c r="K566" s="2494"/>
      <c r="L566" s="2494"/>
      <c r="M566" s="2494"/>
      <c r="N566" s="2494"/>
      <c r="O566" s="2494"/>
      <c r="P566" s="2494"/>
      <c r="Q566" s="2494"/>
      <c r="R566" s="2494"/>
      <c r="S566" s="2494"/>
      <c r="T566" s="2494"/>
      <c r="U566" s="2494"/>
      <c r="V566" s="2494"/>
      <c r="W566" s="2494"/>
      <c r="X566" s="2494"/>
      <c r="Y566" s="2494"/>
      <c r="Z566" s="2494"/>
      <c r="AA566" s="2494"/>
      <c r="AB566" s="2494"/>
      <c r="AC566" s="2494"/>
      <c r="AD566" s="2494"/>
      <c r="AE566" s="2494"/>
      <c r="AF566" s="2494"/>
      <c r="AG566" s="2494"/>
      <c r="AH566" s="2494"/>
      <c r="AI566" s="2494"/>
      <c r="AJ566" s="2494"/>
      <c r="AK566" s="642"/>
      <c r="AL566" s="573"/>
      <c r="AM566" s="603"/>
      <c r="AN566" s="597"/>
    </row>
    <row r="567" spans="1:42" s="550" customFormat="1" ht="12.75" customHeight="1">
      <c r="A567" s="603"/>
      <c r="B567" s="2494"/>
      <c r="C567" s="2494"/>
      <c r="D567" s="2494"/>
      <c r="E567" s="2494"/>
      <c r="F567" s="2494"/>
      <c r="G567" s="2494"/>
      <c r="H567" s="2494"/>
      <c r="I567" s="2494"/>
      <c r="J567" s="2494"/>
      <c r="K567" s="2494"/>
      <c r="L567" s="2494"/>
      <c r="M567" s="2494"/>
      <c r="N567" s="2494"/>
      <c r="O567" s="2494"/>
      <c r="P567" s="2494"/>
      <c r="Q567" s="2494"/>
      <c r="R567" s="2494"/>
      <c r="S567" s="2494"/>
      <c r="T567" s="2494"/>
      <c r="U567" s="2494"/>
      <c r="V567" s="2494"/>
      <c r="W567" s="2494"/>
      <c r="X567" s="2494"/>
      <c r="Y567" s="2494"/>
      <c r="Z567" s="2494"/>
      <c r="AA567" s="2494"/>
      <c r="AB567" s="2494"/>
      <c r="AC567" s="2494"/>
      <c r="AD567" s="2494"/>
      <c r="AE567" s="2494"/>
      <c r="AF567" s="2494"/>
      <c r="AG567" s="2494"/>
      <c r="AH567" s="2494"/>
      <c r="AI567" s="2494"/>
      <c r="AJ567" s="2494"/>
      <c r="AK567" s="642"/>
      <c r="AL567" s="573"/>
      <c r="AM567" s="603"/>
      <c r="AN567" s="597"/>
    </row>
    <row r="568" spans="1:42" s="550" customFormat="1" ht="12.75" customHeight="1">
      <c r="A568" s="603"/>
      <c r="B568" s="2494"/>
      <c r="C568" s="2494"/>
      <c r="D568" s="2494"/>
      <c r="E568" s="2494"/>
      <c r="F568" s="2494"/>
      <c r="G568" s="2494"/>
      <c r="H568" s="2494"/>
      <c r="I568" s="2494"/>
      <c r="J568" s="2494"/>
      <c r="K568" s="2494"/>
      <c r="L568" s="2494"/>
      <c r="M568" s="2494"/>
      <c r="N568" s="2494"/>
      <c r="O568" s="2494"/>
      <c r="P568" s="2494"/>
      <c r="Q568" s="2494"/>
      <c r="R568" s="2494"/>
      <c r="S568" s="2494"/>
      <c r="T568" s="2494"/>
      <c r="U568" s="2494"/>
      <c r="V568" s="2494"/>
      <c r="W568" s="2494"/>
      <c r="X568" s="2494"/>
      <c r="Y568" s="2494"/>
      <c r="Z568" s="2494"/>
      <c r="AA568" s="2494"/>
      <c r="AB568" s="2494"/>
      <c r="AC568" s="2494"/>
      <c r="AD568" s="2494"/>
      <c r="AE568" s="2494"/>
      <c r="AF568" s="2494"/>
      <c r="AG568" s="2494"/>
      <c r="AH568" s="2494"/>
      <c r="AI568" s="2494"/>
      <c r="AJ568" s="2494"/>
      <c r="AK568" s="642"/>
      <c r="AL568" s="573"/>
      <c r="AM568" s="603"/>
      <c r="AN568" s="597"/>
    </row>
    <row r="569" spans="1:42" s="550" customFormat="1" ht="12.75" customHeight="1">
      <c r="A569" s="603"/>
      <c r="B569" s="2494"/>
      <c r="C569" s="2494"/>
      <c r="D569" s="2494"/>
      <c r="E569" s="2494"/>
      <c r="F569" s="2494"/>
      <c r="G569" s="2494"/>
      <c r="H569" s="2494"/>
      <c r="I569" s="2494"/>
      <c r="J569" s="2494"/>
      <c r="K569" s="2494"/>
      <c r="L569" s="2494"/>
      <c r="M569" s="2494"/>
      <c r="N569" s="2494"/>
      <c r="O569" s="2494"/>
      <c r="P569" s="2494"/>
      <c r="Q569" s="2494"/>
      <c r="R569" s="2494"/>
      <c r="S569" s="2494"/>
      <c r="T569" s="2494"/>
      <c r="U569" s="2494"/>
      <c r="V569" s="2494"/>
      <c r="W569" s="2494"/>
      <c r="X569" s="2494"/>
      <c r="Y569" s="2494"/>
      <c r="Z569" s="2494"/>
      <c r="AA569" s="2494"/>
      <c r="AB569" s="2494"/>
      <c r="AC569" s="2494"/>
      <c r="AD569" s="2494"/>
      <c r="AE569" s="2494"/>
      <c r="AF569" s="2494"/>
      <c r="AG569" s="2494"/>
      <c r="AH569" s="2494"/>
      <c r="AI569" s="2494"/>
      <c r="AJ569" s="2494"/>
      <c r="AK569" s="642"/>
      <c r="AL569" s="573"/>
      <c r="AM569" s="603"/>
      <c r="AN569" s="597"/>
    </row>
    <row r="570" spans="1:42" s="550" customFormat="1" ht="12.75" customHeight="1">
      <c r="A570" s="603"/>
      <c r="B570" s="2494"/>
      <c r="C570" s="2494"/>
      <c r="D570" s="2494"/>
      <c r="E570" s="2494"/>
      <c r="F570" s="2494"/>
      <c r="G570" s="2494"/>
      <c r="H570" s="2494"/>
      <c r="I570" s="2494"/>
      <c r="J570" s="2494"/>
      <c r="K570" s="2494"/>
      <c r="L570" s="2494"/>
      <c r="M570" s="2494"/>
      <c r="N570" s="2494"/>
      <c r="O570" s="2494"/>
      <c r="P570" s="2494"/>
      <c r="Q570" s="2494"/>
      <c r="R570" s="2494"/>
      <c r="S570" s="2494"/>
      <c r="T570" s="2494"/>
      <c r="U570" s="2494"/>
      <c r="V570" s="2494"/>
      <c r="W570" s="2494"/>
      <c r="X570" s="2494"/>
      <c r="Y570" s="2494"/>
      <c r="Z570" s="2494"/>
      <c r="AA570" s="2494"/>
      <c r="AB570" s="2494"/>
      <c r="AC570" s="2494"/>
      <c r="AD570" s="2494"/>
      <c r="AE570" s="2494"/>
      <c r="AF570" s="2494"/>
      <c r="AG570" s="2494"/>
      <c r="AH570" s="2494"/>
      <c r="AI570" s="2494"/>
      <c r="AJ570" s="2494"/>
      <c r="AK570" s="642"/>
      <c r="AL570" s="573"/>
      <c r="AM570" s="603"/>
      <c r="AN570" s="597"/>
    </row>
    <row r="571" spans="1:42" ht="12.75" customHeight="1">
      <c r="A571" s="603"/>
      <c r="B571" s="2494"/>
      <c r="C571" s="2494"/>
      <c r="D571" s="2494"/>
      <c r="E571" s="2494"/>
      <c r="F571" s="2494"/>
      <c r="G571" s="2494"/>
      <c r="H571" s="2494"/>
      <c r="I571" s="2494"/>
      <c r="J571" s="2494"/>
      <c r="K571" s="2494"/>
      <c r="L571" s="2494"/>
      <c r="M571" s="2494"/>
      <c r="N571" s="2494"/>
      <c r="O571" s="2494"/>
      <c r="P571" s="2494"/>
      <c r="Q571" s="2494"/>
      <c r="R571" s="2494"/>
      <c r="S571" s="2494"/>
      <c r="T571" s="2494"/>
      <c r="U571" s="2494"/>
      <c r="V571" s="2494"/>
      <c r="W571" s="2494"/>
      <c r="X571" s="2494"/>
      <c r="Y571" s="2494"/>
      <c r="Z571" s="2494"/>
      <c r="AA571" s="2494"/>
      <c r="AB571" s="2494"/>
      <c r="AC571" s="2494"/>
      <c r="AD571" s="2494"/>
      <c r="AE571" s="2494"/>
      <c r="AF571" s="2494"/>
      <c r="AG571" s="2494"/>
      <c r="AH571" s="2494"/>
      <c r="AI571" s="2494"/>
      <c r="AJ571" s="2494"/>
      <c r="AK571" s="642"/>
      <c r="AL571" s="573"/>
      <c r="AM571" s="603"/>
    </row>
    <row r="572" spans="1:42" s="550" customFormat="1" ht="12.75" customHeight="1">
      <c r="B572" s="2494"/>
      <c r="C572" s="2494"/>
      <c r="D572" s="2494"/>
      <c r="E572" s="2494"/>
      <c r="F572" s="2494"/>
      <c r="G572" s="2494"/>
      <c r="H572" s="2494"/>
      <c r="I572" s="2494"/>
      <c r="J572" s="2494"/>
      <c r="K572" s="2494"/>
      <c r="L572" s="2494"/>
      <c r="M572" s="2494"/>
      <c r="N572" s="2494"/>
      <c r="O572" s="2494"/>
      <c r="P572" s="2494"/>
      <c r="Q572" s="2494"/>
      <c r="R572" s="2494"/>
      <c r="S572" s="2494"/>
      <c r="T572" s="2494"/>
      <c r="U572" s="2494"/>
      <c r="V572" s="2494"/>
      <c r="W572" s="2494"/>
      <c r="X572" s="2494"/>
      <c r="Y572" s="2494"/>
      <c r="Z572" s="2494"/>
      <c r="AA572" s="2494"/>
      <c r="AB572" s="2494"/>
      <c r="AC572" s="2494"/>
      <c r="AD572" s="2494"/>
      <c r="AE572" s="2494"/>
      <c r="AF572" s="2494"/>
      <c r="AG572" s="2494"/>
      <c r="AH572" s="2494"/>
      <c r="AI572" s="2494"/>
      <c r="AJ572" s="2494"/>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1393</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591</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545</v>
      </c>
    </row>
    <row r="576" spans="1:42" s="550" customFormat="1" ht="12.75" customHeight="1">
      <c r="C576" s="539" t="s">
        <v>1394</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687</v>
      </c>
      <c r="E578" s="838" t="s">
        <v>1697</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439" t="s">
        <v>1337</v>
      </c>
      <c r="AG578" s="2439"/>
      <c r="AH578" s="2439"/>
      <c r="AI578" s="2439"/>
      <c r="AJ578" s="2439"/>
      <c r="AK578" s="2439"/>
      <c r="AL578" s="2439"/>
      <c r="AN578" s="597"/>
    </row>
    <row r="579" spans="1:42" s="550" customFormat="1" ht="12.75" customHeight="1">
      <c r="B579" s="536"/>
      <c r="C579" s="616"/>
      <c r="D579" s="663"/>
      <c r="E579" s="838" t="s">
        <v>1698</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1699</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1700</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1701</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2174</v>
      </c>
      <c r="AP582" s="550" t="b">
        <f>IF(Application!AF418&gt;=25,TRUE,FALSE)</f>
        <v>1</v>
      </c>
    </row>
    <row r="583" spans="1:42" s="550" customFormat="1" ht="12.75" customHeight="1">
      <c r="B583" s="536"/>
      <c r="C583" s="616"/>
      <c r="D583" s="663"/>
      <c r="E583" s="838" t="s">
        <v>1702</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2175</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509</v>
      </c>
      <c r="E585" s="838" t="s">
        <v>1703</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439" t="s">
        <v>1395</v>
      </c>
      <c r="AG585" s="2439"/>
      <c r="AH585" s="2439"/>
      <c r="AI585" s="2439"/>
      <c r="AJ585" s="2439"/>
      <c r="AK585" s="2439"/>
      <c r="AL585" s="2439"/>
      <c r="AN585" s="597"/>
    </row>
    <row r="586" spans="1:42" s="550" customFormat="1" ht="12.75" customHeight="1">
      <c r="B586" s="536"/>
      <c r="C586" s="933"/>
      <c r="D586" s="663"/>
      <c r="E586" s="838" t="s">
        <v>1704</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591</v>
      </c>
      <c r="AP586" s="673">
        <v>0</v>
      </c>
    </row>
    <row r="587" spans="1:42" s="550" customFormat="1" ht="12.75" customHeight="1">
      <c r="B587" s="610"/>
      <c r="C587" s="931"/>
      <c r="D587" s="663"/>
      <c r="E587" s="838" t="s">
        <v>1705</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687</v>
      </c>
      <c r="AP587" s="550">
        <f>7*AP582</f>
        <v>7</v>
      </c>
    </row>
    <row r="588" spans="1:42" s="550" customFormat="1" ht="12.75" customHeight="1">
      <c r="B588" s="610"/>
      <c r="C588" s="931"/>
      <c r="D588" s="663"/>
      <c r="E588" s="838" t="s">
        <v>1707</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509</v>
      </c>
      <c r="AP588" s="550">
        <v>6</v>
      </c>
    </row>
    <row r="589" spans="1:42" s="550" customFormat="1" ht="12.75" customHeight="1">
      <c r="B589" s="610"/>
      <c r="C589" s="931"/>
      <c r="D589" s="663"/>
      <c r="E589" s="838" t="s">
        <v>1706</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277</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1396</v>
      </c>
      <c r="AP590" s="550">
        <v>4</v>
      </c>
    </row>
    <row r="591" spans="1:42" s="550" customFormat="1" ht="12.75" customHeight="1">
      <c r="B591" s="536"/>
      <c r="C591" s="931"/>
      <c r="D591" s="663" t="s">
        <v>277</v>
      </c>
      <c r="E591" s="838" t="s">
        <v>1708</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439" t="s">
        <v>1377</v>
      </c>
      <c r="AG591" s="2439"/>
      <c r="AH591" s="2439"/>
      <c r="AI591" s="2439"/>
      <c r="AJ591" s="2439"/>
      <c r="AK591" s="2439"/>
      <c r="AL591" s="2439"/>
      <c r="AN591" s="597"/>
      <c r="AO591" s="611" t="s">
        <v>1397</v>
      </c>
      <c r="AP591" s="550">
        <v>3</v>
      </c>
    </row>
    <row r="592" spans="1:42" s="550" customFormat="1" ht="12.75" customHeight="1">
      <c r="B592" s="536"/>
      <c r="C592" s="933"/>
      <c r="D592" s="663"/>
      <c r="E592" s="838" t="s">
        <v>1704</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1705</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2177</v>
      </c>
    </row>
    <row r="594" spans="1:53" s="550" customFormat="1" ht="12.75" customHeight="1">
      <c r="B594" s="536"/>
      <c r="C594" s="933"/>
      <c r="D594" s="663"/>
      <c r="E594" s="838" t="s">
        <v>1707</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2178</v>
      </c>
    </row>
    <row r="595" spans="1:53" s="550" customFormat="1" ht="12.75" customHeight="1">
      <c r="B595" s="536"/>
      <c r="C595" s="933"/>
      <c r="D595" s="663"/>
      <c r="E595" s="838" t="s">
        <v>1706</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2179</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1396</v>
      </c>
      <c r="E597" s="838" t="s">
        <v>1709</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439" t="s">
        <v>1398</v>
      </c>
      <c r="AG597" s="2439"/>
      <c r="AH597" s="2439"/>
      <c r="AI597" s="2439"/>
      <c r="AJ597" s="2439"/>
      <c r="AK597" s="2439"/>
      <c r="AL597" s="2439"/>
      <c r="AN597" s="597"/>
      <c r="AO597" s="550" t="str">
        <f>X634</f>
        <v>N/A</v>
      </c>
    </row>
    <row r="598" spans="1:53" s="550" customFormat="1" ht="12.75" customHeight="1">
      <c r="B598" s="536"/>
      <c r="C598" s="933"/>
      <c r="D598" s="663"/>
      <c r="E598" s="838" t="s">
        <v>1710</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1711</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2180</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2181</v>
      </c>
    </row>
    <row r="601" spans="1:53" s="550" customFormat="1" ht="12.75" customHeight="1">
      <c r="B601" s="610"/>
      <c r="C601" s="931"/>
      <c r="D601" s="663"/>
      <c r="E601" s="536" t="s">
        <v>1865</v>
      </c>
      <c r="O601" s="2525" t="s">
        <v>1183</v>
      </c>
      <c r="P601" s="2525"/>
      <c r="Q601" s="2525"/>
      <c r="R601" s="2525"/>
      <c r="S601" s="2525"/>
      <c r="T601" s="2525"/>
      <c r="U601" s="2525"/>
      <c r="V601" s="2525"/>
      <c r="W601" s="2525"/>
      <c r="X601" s="2525"/>
      <c r="Y601" s="2525"/>
      <c r="Z601" s="2525"/>
      <c r="AA601" s="2525"/>
      <c r="AB601" s="2525"/>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1397</v>
      </c>
      <c r="E603" s="838" t="s">
        <v>1713</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439" t="s">
        <v>1351</v>
      </c>
      <c r="AG603" s="2439"/>
      <c r="AH603" s="2439"/>
      <c r="AI603" s="2439"/>
      <c r="AJ603" s="2439"/>
      <c r="AK603" s="2439"/>
      <c r="AL603" s="2439"/>
      <c r="AN603" s="597"/>
    </row>
    <row r="604" spans="1:53" s="550" customFormat="1" ht="12.75" customHeight="1">
      <c r="B604" s="536"/>
      <c r="C604" s="931"/>
      <c r="D604" s="663"/>
      <c r="E604" s="838" t="s">
        <v>1712</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591</v>
      </c>
      <c r="AP605" s="673">
        <v>0</v>
      </c>
      <c r="AT605" s="550" t="s">
        <v>591</v>
      </c>
      <c r="AU605" s="673">
        <v>0</v>
      </c>
    </row>
    <row r="606" spans="1:53" s="550" customFormat="1" ht="12.75" customHeight="1">
      <c r="B606" s="536"/>
      <c r="C606" s="933"/>
      <c r="D606" s="536" t="s">
        <v>1399</v>
      </c>
      <c r="E606" s="936"/>
      <c r="F606" s="936"/>
      <c r="G606" s="936"/>
      <c r="H606" s="2523" t="s">
        <v>687</v>
      </c>
      <c r="I606" s="2523"/>
      <c r="J606" s="936"/>
      <c r="K606" s="936"/>
      <c r="L606" s="936"/>
      <c r="N606" s="22"/>
      <c r="O606" s="22"/>
      <c r="P606" s="22"/>
      <c r="Q606" s="1151" t="s">
        <v>2176</v>
      </c>
      <c r="R606" s="2526"/>
      <c r="S606" s="2526"/>
      <c r="T606" s="2526"/>
      <c r="U606" s="2526"/>
      <c r="V606" s="2526"/>
      <c r="W606" s="2526"/>
      <c r="X606" s="536"/>
      <c r="Y606" s="536"/>
      <c r="Z606" s="536"/>
      <c r="AA606" s="536"/>
      <c r="AB606" s="536"/>
      <c r="AC606" s="536"/>
      <c r="AD606" s="536"/>
      <c r="AE606" s="536"/>
      <c r="AF606" s="536"/>
      <c r="AG606" s="536"/>
      <c r="AH606" s="536"/>
      <c r="AI606" s="536"/>
      <c r="AJ606" s="536"/>
      <c r="AK606" s="536"/>
      <c r="AL606" s="536"/>
      <c r="AN606" s="597"/>
      <c r="AO606" s="611" t="s">
        <v>687</v>
      </c>
      <c r="AP606" s="550">
        <v>3</v>
      </c>
      <c r="AT606" s="611" t="s">
        <v>687</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27" t="str">
        <f>IF(AND(H606="(i)",NOT(AP582)),AO599,IF(AND(H606="(iv)",OR(R606=AO595,R606=AO594),NOT(AP583)),AO600,""))</f>
        <v/>
      </c>
      <c r="Z607" s="2527"/>
      <c r="AA607" s="2527"/>
      <c r="AB607" s="2527"/>
      <c r="AC607" s="2527"/>
      <c r="AD607" s="2527"/>
      <c r="AE607" s="2527"/>
      <c r="AF607" s="2527"/>
      <c r="AG607" s="2527"/>
      <c r="AH607" s="2527"/>
      <c r="AI607" s="2527"/>
      <c r="AJ607" s="2527"/>
      <c r="AK607" s="2527"/>
      <c r="AL607" s="2527"/>
      <c r="AM607" s="2528"/>
      <c r="AN607" s="597"/>
      <c r="AO607" s="611" t="s">
        <v>509</v>
      </c>
      <c r="AP607" s="550">
        <v>2</v>
      </c>
      <c r="AT607" s="611" t="s">
        <v>509</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27"/>
      <c r="Z608" s="2527"/>
      <c r="AA608" s="2527"/>
      <c r="AB608" s="2527"/>
      <c r="AC608" s="2527"/>
      <c r="AD608" s="2527"/>
      <c r="AE608" s="2527"/>
      <c r="AF608" s="2527"/>
      <c r="AG608" s="2527"/>
      <c r="AH608" s="2527"/>
      <c r="AI608" s="2527"/>
      <c r="AJ608" s="2527"/>
      <c r="AK608" s="2527"/>
      <c r="AL608" s="2527"/>
      <c r="AM608" s="2528"/>
      <c r="AN608" s="597"/>
      <c r="AO608" s="611"/>
      <c r="AT608" s="611"/>
    </row>
    <row r="609" spans="1:42" s="550" customFormat="1" ht="12.75" customHeight="1">
      <c r="B609" s="536"/>
      <c r="C609" s="933"/>
      <c r="D609" s="536" t="s">
        <v>1714</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1715</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1716</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1717</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591</v>
      </c>
      <c r="AP613" s="673">
        <v>0</v>
      </c>
    </row>
    <row r="614" spans="1:42" s="550" customFormat="1" ht="12.75" customHeight="1">
      <c r="B614" s="536"/>
      <c r="C614" s="933"/>
      <c r="D614" s="536"/>
      <c r="E614" s="536" t="s">
        <v>1399</v>
      </c>
      <c r="F614" s="936"/>
      <c r="G614" s="936"/>
      <c r="I614" s="2524" t="s">
        <v>591</v>
      </c>
      <c r="J614" s="2524"/>
      <c r="K614" s="2524"/>
      <c r="L614" s="2524"/>
      <c r="M614" s="2524"/>
      <c r="N614" s="2524"/>
      <c r="O614" s="2524"/>
      <c r="P614" s="2524"/>
      <c r="Q614" s="2524"/>
      <c r="R614" s="2524"/>
      <c r="S614" s="2524"/>
      <c r="T614" s="2524"/>
      <c r="U614" s="2524"/>
      <c r="V614" s="2524"/>
      <c r="W614" s="2524"/>
      <c r="X614" s="2524"/>
      <c r="Y614" s="2524"/>
      <c r="Z614" s="2524"/>
      <c r="AA614" s="2524"/>
      <c r="AB614" s="2524"/>
      <c r="AC614" s="2524"/>
      <c r="AD614" s="2524"/>
      <c r="AE614" s="2524"/>
      <c r="AF614" s="536"/>
      <c r="AG614" s="536"/>
      <c r="AH614" s="536"/>
      <c r="AI614" s="536"/>
      <c r="AJ614" s="536"/>
      <c r="AK614" s="536"/>
      <c r="AL614" s="536"/>
      <c r="AN614" s="597"/>
      <c r="AO614" s="550" t="s">
        <v>1400</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1401</v>
      </c>
      <c r="AP615" s="550">
        <v>2</v>
      </c>
    </row>
    <row r="616" spans="1:42" s="550" customFormat="1" ht="12.75" customHeight="1">
      <c r="B616" s="2467" t="s">
        <v>591</v>
      </c>
      <c r="C616" s="2467"/>
      <c r="D616" s="642"/>
      <c r="E616" s="2494" t="s">
        <v>1402</v>
      </c>
      <c r="F616" s="2494"/>
      <c r="G616" s="2494"/>
      <c r="H616" s="2494"/>
      <c r="I616" s="2494"/>
      <c r="J616" s="2494"/>
      <c r="K616" s="2494"/>
      <c r="L616" s="2494"/>
      <c r="M616" s="2494"/>
      <c r="N616" s="2494"/>
      <c r="O616" s="2494"/>
      <c r="P616" s="2494"/>
      <c r="Q616" s="2494"/>
      <c r="R616" s="2494"/>
      <c r="S616" s="2494"/>
      <c r="T616" s="2494"/>
      <c r="U616" s="2494"/>
      <c r="V616" s="2494"/>
      <c r="W616" s="2494"/>
      <c r="X616" s="2494"/>
      <c r="Y616" s="2494"/>
      <c r="Z616" s="2494"/>
      <c r="AA616" s="2494"/>
      <c r="AB616" s="2494"/>
      <c r="AC616" s="2494"/>
      <c r="AD616" s="2494"/>
      <c r="AE616" s="2494"/>
      <c r="AF616" s="2494"/>
      <c r="AG616" s="2494"/>
      <c r="AH616" s="642"/>
      <c r="AI616" s="642"/>
      <c r="AJ616" s="642"/>
      <c r="AK616" s="642"/>
      <c r="AL616" s="642"/>
      <c r="AN616" s="597"/>
    </row>
    <row r="617" spans="1:42" s="550" customFormat="1" ht="12.75" customHeight="1">
      <c r="B617" s="536"/>
      <c r="C617" s="933"/>
      <c r="D617" s="642"/>
      <c r="E617" s="2494"/>
      <c r="F617" s="2494"/>
      <c r="G617" s="2494"/>
      <c r="H617" s="2494"/>
      <c r="I617" s="2494"/>
      <c r="J617" s="2494"/>
      <c r="K617" s="2494"/>
      <c r="L617" s="2494"/>
      <c r="M617" s="2494"/>
      <c r="N617" s="2494"/>
      <c r="O617" s="2494"/>
      <c r="P617" s="2494"/>
      <c r="Q617" s="2494"/>
      <c r="R617" s="2494"/>
      <c r="S617" s="2494"/>
      <c r="T617" s="2494"/>
      <c r="U617" s="2494"/>
      <c r="V617" s="2494"/>
      <c r="W617" s="2494"/>
      <c r="X617" s="2494"/>
      <c r="Y617" s="2494"/>
      <c r="Z617" s="2494"/>
      <c r="AA617" s="2494"/>
      <c r="AB617" s="2494"/>
      <c r="AC617" s="2494"/>
      <c r="AD617" s="2494"/>
      <c r="AE617" s="2494"/>
      <c r="AF617" s="2494"/>
      <c r="AG617" s="2494"/>
      <c r="AH617" s="642"/>
      <c r="AI617" s="642"/>
      <c r="AJ617" s="642"/>
      <c r="AK617" s="642"/>
      <c r="AL617" s="642"/>
      <c r="AN617" s="597"/>
    </row>
    <row r="618" spans="1:42" s="550" customFormat="1" ht="12.75" customHeight="1">
      <c r="B618" s="536"/>
      <c r="C618" s="933"/>
      <c r="D618" s="642"/>
      <c r="E618" s="2494"/>
      <c r="F618" s="2494"/>
      <c r="G618" s="2494"/>
      <c r="H618" s="2494"/>
      <c r="I618" s="2494"/>
      <c r="J618" s="2494"/>
      <c r="K618" s="2494"/>
      <c r="L618" s="2494"/>
      <c r="M618" s="2494"/>
      <c r="N618" s="2494"/>
      <c r="O618" s="2494"/>
      <c r="P618" s="2494"/>
      <c r="Q618" s="2494"/>
      <c r="R618" s="2494"/>
      <c r="S618" s="2494"/>
      <c r="T618" s="2494"/>
      <c r="U618" s="2494"/>
      <c r="V618" s="2494"/>
      <c r="W618" s="2494"/>
      <c r="X618" s="2494"/>
      <c r="Y618" s="2494"/>
      <c r="Z618" s="2494"/>
      <c r="AA618" s="2494"/>
      <c r="AB618" s="2494"/>
      <c r="AC618" s="2494"/>
      <c r="AD618" s="2494"/>
      <c r="AE618" s="2494"/>
      <c r="AF618" s="2494"/>
      <c r="AG618" s="2494"/>
      <c r="AH618" s="642"/>
      <c r="AI618" s="642"/>
      <c r="AJ618" s="642"/>
      <c r="AK618" s="642"/>
      <c r="AL618" s="642"/>
      <c r="AN618" s="597"/>
    </row>
    <row r="619" spans="1:42" s="550" customFormat="1" ht="12.75" customHeight="1">
      <c r="B619" s="536"/>
      <c r="C619" s="933"/>
      <c r="D619" s="642"/>
      <c r="E619" s="2494"/>
      <c r="F619" s="2494"/>
      <c r="G619" s="2494"/>
      <c r="H619" s="2494"/>
      <c r="I619" s="2494"/>
      <c r="J619" s="2494"/>
      <c r="K619" s="2494"/>
      <c r="L619" s="2494"/>
      <c r="M619" s="2494"/>
      <c r="N619" s="2494"/>
      <c r="O619" s="2494"/>
      <c r="P619" s="2494"/>
      <c r="Q619" s="2494"/>
      <c r="R619" s="2494"/>
      <c r="S619" s="2494"/>
      <c r="T619" s="2494"/>
      <c r="U619" s="2494"/>
      <c r="V619" s="2494"/>
      <c r="W619" s="2494"/>
      <c r="X619" s="2494"/>
      <c r="Y619" s="2494"/>
      <c r="Z619" s="2494"/>
      <c r="AA619" s="2494"/>
      <c r="AB619" s="2494"/>
      <c r="AC619" s="2494"/>
      <c r="AD619" s="2494"/>
      <c r="AE619" s="2494"/>
      <c r="AF619" s="2494"/>
      <c r="AG619" s="2494"/>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1403</v>
      </c>
      <c r="AJ621" s="2474">
        <f>VLOOKUP($H$606,$AO$586:$AP$591,2,FALSE)+IF(R606=AO594,0,VLOOKUP($I$614,$AO$613:$AP$615,2,FALSE))</f>
        <v>7</v>
      </c>
      <c r="AK621" s="2476"/>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1404</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687</v>
      </c>
      <c r="E625" s="2522" t="s">
        <v>1693</v>
      </c>
      <c r="F625" s="2522"/>
      <c r="G625" s="2522"/>
      <c r="H625" s="2522"/>
      <c r="I625" s="2522"/>
      <c r="J625" s="2522"/>
      <c r="K625" s="2522"/>
      <c r="L625" s="2522"/>
      <c r="M625" s="2522"/>
      <c r="N625" s="2522"/>
      <c r="O625" s="2522"/>
      <c r="P625" s="2522"/>
      <c r="Q625" s="2522"/>
      <c r="R625" s="2522"/>
      <c r="S625" s="2522"/>
      <c r="T625" s="2522"/>
      <c r="U625" s="2522"/>
      <c r="V625" s="2522"/>
      <c r="W625" s="2522"/>
      <c r="X625" s="2522"/>
      <c r="Y625" s="2522"/>
      <c r="Z625" s="2522"/>
      <c r="AA625" s="2522"/>
      <c r="AB625" s="2522"/>
      <c r="AC625" s="2522"/>
      <c r="AD625" s="2522"/>
      <c r="AE625" s="539"/>
      <c r="AF625" s="2439" t="s">
        <v>1351</v>
      </c>
      <c r="AG625" s="2439"/>
      <c r="AH625" s="2439"/>
      <c r="AI625" s="2439"/>
      <c r="AJ625" s="2439"/>
      <c r="AK625" s="2439"/>
      <c r="AL625" s="2439"/>
      <c r="AM625" s="550"/>
      <c r="AN625" s="678"/>
    </row>
    <row r="626" spans="1:42" s="550" customFormat="1" ht="12.75" customHeight="1">
      <c r="A626" s="679"/>
      <c r="B626" s="536"/>
      <c r="C626" s="933"/>
      <c r="D626" s="663"/>
      <c r="E626" s="2522"/>
      <c r="F626" s="2522"/>
      <c r="G626" s="2522"/>
      <c r="H626" s="2522"/>
      <c r="I626" s="2522"/>
      <c r="J626" s="2522"/>
      <c r="K626" s="2522"/>
      <c r="L626" s="2522"/>
      <c r="M626" s="2522"/>
      <c r="N626" s="2522"/>
      <c r="O626" s="2522"/>
      <c r="P626" s="2522"/>
      <c r="Q626" s="2522"/>
      <c r="R626" s="2522"/>
      <c r="S626" s="2522"/>
      <c r="T626" s="2522"/>
      <c r="U626" s="2522"/>
      <c r="V626" s="2522"/>
      <c r="W626" s="2522"/>
      <c r="X626" s="2522"/>
      <c r="Y626" s="2522"/>
      <c r="Z626" s="2522"/>
      <c r="AA626" s="2522"/>
      <c r="AB626" s="2522"/>
      <c r="AC626" s="2522"/>
      <c r="AD626" s="2522"/>
      <c r="AE626" s="536"/>
      <c r="AF626" s="536"/>
      <c r="AG626" s="536"/>
      <c r="AH626" s="536"/>
      <c r="AI626" s="536"/>
      <c r="AJ626" s="536"/>
      <c r="AK626" s="536"/>
      <c r="AL626" s="536"/>
      <c r="AN626" s="597"/>
    </row>
    <row r="627" spans="1:42" s="550" customFormat="1" ht="12.75" customHeight="1">
      <c r="B627" s="536"/>
      <c r="C627" s="931"/>
      <c r="D627" s="663"/>
      <c r="E627" s="2522"/>
      <c r="F627" s="2522"/>
      <c r="G627" s="2522"/>
      <c r="H627" s="2522"/>
      <c r="I627" s="2522"/>
      <c r="J627" s="2522"/>
      <c r="K627" s="2522"/>
      <c r="L627" s="2522"/>
      <c r="M627" s="2522"/>
      <c r="N627" s="2522"/>
      <c r="O627" s="2522"/>
      <c r="P627" s="2522"/>
      <c r="Q627" s="2522"/>
      <c r="R627" s="2522"/>
      <c r="S627" s="2522"/>
      <c r="T627" s="2522"/>
      <c r="U627" s="2522"/>
      <c r="V627" s="2522"/>
      <c r="W627" s="2522"/>
      <c r="X627" s="2522"/>
      <c r="Y627" s="2522"/>
      <c r="Z627" s="2522"/>
      <c r="AA627" s="2522"/>
      <c r="AB627" s="2522"/>
      <c r="AC627" s="2522"/>
      <c r="AD627" s="2522"/>
      <c r="AE627" s="536"/>
      <c r="AF627" s="536"/>
      <c r="AG627" s="536"/>
      <c r="AH627" s="536"/>
      <c r="AI627" s="536"/>
      <c r="AJ627" s="536"/>
      <c r="AK627" s="536"/>
      <c r="AL627" s="536"/>
      <c r="AN627" s="597"/>
    </row>
    <row r="628" spans="1:42" s="550" customFormat="1" ht="12.75" customHeight="1">
      <c r="B628" s="536"/>
      <c r="C628" s="931"/>
      <c r="D628" s="663"/>
      <c r="E628" s="2522"/>
      <c r="F628" s="2522"/>
      <c r="G628" s="2522"/>
      <c r="H628" s="2522"/>
      <c r="I628" s="2522"/>
      <c r="J628" s="2522"/>
      <c r="K628" s="2522"/>
      <c r="L628" s="2522"/>
      <c r="M628" s="2522"/>
      <c r="N628" s="2522"/>
      <c r="O628" s="2522"/>
      <c r="P628" s="2522"/>
      <c r="Q628" s="2522"/>
      <c r="R628" s="2522"/>
      <c r="S628" s="2522"/>
      <c r="T628" s="2522"/>
      <c r="U628" s="2522"/>
      <c r="V628" s="2522"/>
      <c r="W628" s="2522"/>
      <c r="X628" s="2522"/>
      <c r="Y628" s="2522"/>
      <c r="Z628" s="2522"/>
      <c r="AA628" s="2522"/>
      <c r="AB628" s="2522"/>
      <c r="AC628" s="2522"/>
      <c r="AD628" s="2522"/>
      <c r="AE628" s="536"/>
      <c r="AF628" s="536"/>
      <c r="AG628" s="536"/>
      <c r="AH628" s="536"/>
      <c r="AI628" s="536"/>
      <c r="AJ628" s="536"/>
      <c r="AK628" s="536"/>
      <c r="AL628" s="536"/>
      <c r="AN628" s="597"/>
    </row>
    <row r="629" spans="1:42" s="550" customFormat="1" ht="12.75" customHeight="1">
      <c r="B629" s="536"/>
      <c r="C629" s="931"/>
      <c r="D629" s="663"/>
      <c r="E629" s="2522"/>
      <c r="F629" s="2522"/>
      <c r="G629" s="2522"/>
      <c r="H629" s="2522"/>
      <c r="I629" s="2522"/>
      <c r="J629" s="2522"/>
      <c r="K629" s="2522"/>
      <c r="L629" s="2522"/>
      <c r="M629" s="2522"/>
      <c r="N629" s="2522"/>
      <c r="O629" s="2522"/>
      <c r="P629" s="2522"/>
      <c r="Q629" s="2522"/>
      <c r="R629" s="2522"/>
      <c r="S629" s="2522"/>
      <c r="T629" s="2522"/>
      <c r="U629" s="2522"/>
      <c r="V629" s="2522"/>
      <c r="W629" s="2522"/>
      <c r="X629" s="2522"/>
      <c r="Y629" s="2522"/>
      <c r="Z629" s="2522"/>
      <c r="AA629" s="2522"/>
      <c r="AB629" s="2522"/>
      <c r="AC629" s="2522"/>
      <c r="AD629" s="2522"/>
      <c r="AE629" s="536"/>
      <c r="AF629" s="536"/>
      <c r="AG629" s="536"/>
      <c r="AH629" s="536"/>
      <c r="AI629" s="536"/>
      <c r="AJ629" s="536"/>
      <c r="AK629" s="536"/>
      <c r="AL629" s="536"/>
      <c r="AN629" s="597"/>
    </row>
    <row r="630" spans="1:42" s="550" customFormat="1" ht="12.75" customHeight="1">
      <c r="B630" s="536"/>
      <c r="C630" s="931"/>
      <c r="D630" s="663"/>
      <c r="E630" s="2522"/>
      <c r="F630" s="2522"/>
      <c r="G630" s="2522"/>
      <c r="H630" s="2522"/>
      <c r="I630" s="2522"/>
      <c r="J630" s="2522"/>
      <c r="K630" s="2522"/>
      <c r="L630" s="2522"/>
      <c r="M630" s="2522"/>
      <c r="N630" s="2522"/>
      <c r="O630" s="2522"/>
      <c r="P630" s="2522"/>
      <c r="Q630" s="2522"/>
      <c r="R630" s="2522"/>
      <c r="S630" s="2522"/>
      <c r="T630" s="2522"/>
      <c r="U630" s="2522"/>
      <c r="V630" s="2522"/>
      <c r="W630" s="2522"/>
      <c r="X630" s="2522"/>
      <c r="Y630" s="2522"/>
      <c r="Z630" s="2522"/>
      <c r="AA630" s="2522"/>
      <c r="AB630" s="2522"/>
      <c r="AC630" s="2522"/>
      <c r="AD630" s="2522"/>
      <c r="AE630" s="536"/>
      <c r="AF630" s="536"/>
      <c r="AG630" s="536"/>
      <c r="AH630" s="536"/>
      <c r="AI630" s="536"/>
      <c r="AJ630" s="536"/>
      <c r="AK630" s="536"/>
      <c r="AL630" s="536"/>
      <c r="AN630" s="597"/>
    </row>
    <row r="631" spans="1:42" s="550" customFormat="1" ht="12.75" customHeight="1">
      <c r="A631" s="637"/>
      <c r="B631" s="616"/>
      <c r="C631" s="940"/>
      <c r="D631" s="663"/>
      <c r="E631" s="2522"/>
      <c r="F631" s="2522"/>
      <c r="G631" s="2522"/>
      <c r="H631" s="2522"/>
      <c r="I631" s="2522"/>
      <c r="J631" s="2522"/>
      <c r="K631" s="2522"/>
      <c r="L631" s="2522"/>
      <c r="M631" s="2522"/>
      <c r="N631" s="2522"/>
      <c r="O631" s="2522"/>
      <c r="P631" s="2522"/>
      <c r="Q631" s="2522"/>
      <c r="R631" s="2522"/>
      <c r="S631" s="2522"/>
      <c r="T631" s="2522"/>
      <c r="U631" s="2522"/>
      <c r="V631" s="2522"/>
      <c r="W631" s="2522"/>
      <c r="X631" s="2522"/>
      <c r="Y631" s="2522"/>
      <c r="Z631" s="2522"/>
      <c r="AA631" s="2522"/>
      <c r="AB631" s="2522"/>
      <c r="AC631" s="2522"/>
      <c r="AD631" s="2522"/>
      <c r="AE631" s="616"/>
      <c r="AF631" s="616"/>
      <c r="AG631" s="616"/>
      <c r="AH631" s="616"/>
      <c r="AI631" s="616"/>
      <c r="AJ631" s="616"/>
      <c r="AK631" s="536"/>
      <c r="AL631" s="536"/>
      <c r="AN631" s="597"/>
    </row>
    <row r="632" spans="1:42" s="550" customFormat="1" ht="12.75" customHeight="1">
      <c r="B632" s="616"/>
      <c r="C632" s="940"/>
      <c r="D632" s="663"/>
      <c r="E632" s="2522"/>
      <c r="F632" s="2522"/>
      <c r="G632" s="2522"/>
      <c r="H632" s="2522"/>
      <c r="I632" s="2522"/>
      <c r="J632" s="2522"/>
      <c r="K632" s="2522"/>
      <c r="L632" s="2522"/>
      <c r="M632" s="2522"/>
      <c r="N632" s="2522"/>
      <c r="O632" s="2522"/>
      <c r="P632" s="2522"/>
      <c r="Q632" s="2522"/>
      <c r="R632" s="2522"/>
      <c r="S632" s="2522"/>
      <c r="T632" s="2522"/>
      <c r="U632" s="2522"/>
      <c r="V632" s="2522"/>
      <c r="W632" s="2522"/>
      <c r="X632" s="2522"/>
      <c r="Y632" s="2522"/>
      <c r="Z632" s="2522"/>
      <c r="AA632" s="2522"/>
      <c r="AB632" s="2522"/>
      <c r="AC632" s="2522"/>
      <c r="AD632" s="2522"/>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591</v>
      </c>
      <c r="AP633" s="673">
        <v>0</v>
      </c>
    </row>
    <row r="634" spans="1:42" s="550" customFormat="1" ht="12.75" customHeight="1">
      <c r="B634" s="616"/>
      <c r="C634" s="931"/>
      <c r="D634" s="663"/>
      <c r="E634" s="616" t="s">
        <v>1405</v>
      </c>
      <c r="F634" s="941"/>
      <c r="G634" s="941"/>
      <c r="H634" s="941"/>
      <c r="I634" s="941"/>
      <c r="J634" s="941"/>
      <c r="K634" s="941"/>
      <c r="L634" s="941"/>
      <c r="M634" s="941"/>
      <c r="N634" s="941"/>
      <c r="O634" s="941"/>
      <c r="P634" s="941"/>
      <c r="Q634" s="941"/>
      <c r="R634" s="941"/>
      <c r="U634" s="941"/>
      <c r="V634" s="941"/>
      <c r="W634" s="941"/>
      <c r="X634" s="2467" t="s">
        <v>591</v>
      </c>
      <c r="Y634" s="2467"/>
      <c r="Z634" s="941"/>
      <c r="AA634" s="941"/>
      <c r="AB634" s="941"/>
      <c r="AC634" s="941"/>
      <c r="AD634" s="941"/>
      <c r="AE634" s="536"/>
      <c r="AF634" s="616"/>
      <c r="AG634" s="616"/>
      <c r="AH634" s="616"/>
      <c r="AI634" s="616"/>
      <c r="AJ634" s="616"/>
      <c r="AK634" s="536"/>
      <c r="AL634" s="536"/>
      <c r="AN634" s="597"/>
      <c r="AO634" s="611" t="s">
        <v>687</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509</v>
      </c>
      <c r="AP635" s="680">
        <v>4</v>
      </c>
    </row>
    <row r="636" spans="1:42" s="550" customFormat="1" ht="12.75" customHeight="1">
      <c r="B636" s="536"/>
      <c r="C636" s="931"/>
      <c r="D636" s="663" t="s">
        <v>509</v>
      </c>
      <c r="E636" s="555" t="s">
        <v>1406</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439" t="s">
        <v>1407</v>
      </c>
      <c r="AG636" s="2439"/>
      <c r="AH636" s="2439"/>
      <c r="AI636" s="2439"/>
      <c r="AJ636" s="2439"/>
      <c r="AK636" s="2439"/>
      <c r="AL636" s="2439"/>
      <c r="AN636" s="597"/>
      <c r="AO636" s="611" t="s">
        <v>277</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1396</v>
      </c>
      <c r="AP637" s="680">
        <v>4</v>
      </c>
    </row>
    <row r="638" spans="1:42" s="550" customFormat="1" ht="12.75" customHeight="1">
      <c r="B638" s="536"/>
      <c r="C638" s="931"/>
      <c r="D638" s="536" t="s">
        <v>1399</v>
      </c>
      <c r="E638" s="936"/>
      <c r="F638" s="936"/>
      <c r="G638" s="936"/>
      <c r="H638" s="2523" t="s">
        <v>687</v>
      </c>
      <c r="I638" s="2523"/>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1397</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1408</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1409</v>
      </c>
      <c r="AJ640" s="2474">
        <f>VLOOKUP($H$638,$AO$605:$AP$607,2,FALSE)</f>
        <v>3</v>
      </c>
      <c r="AK640" s="2476"/>
      <c r="AL640" s="595"/>
      <c r="AN640" s="597"/>
      <c r="AO640" s="611" t="s">
        <v>1410</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1411</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687</v>
      </c>
      <c r="E644" s="2494" t="s">
        <v>2097</v>
      </c>
      <c r="F644" s="2494"/>
      <c r="G644" s="2494"/>
      <c r="H644" s="2494"/>
      <c r="I644" s="2494"/>
      <c r="J644" s="2494"/>
      <c r="K644" s="2494"/>
      <c r="L644" s="2494"/>
      <c r="M644" s="2494"/>
      <c r="N644" s="2494"/>
      <c r="O644" s="2494"/>
      <c r="P644" s="2494"/>
      <c r="Q644" s="2494"/>
      <c r="R644" s="2494"/>
      <c r="S644" s="2494"/>
      <c r="T644" s="2494"/>
      <c r="U644" s="2494"/>
      <c r="V644" s="2494"/>
      <c r="W644" s="2494"/>
      <c r="X644" s="2494"/>
      <c r="Y644" s="2494"/>
      <c r="Z644" s="2494"/>
      <c r="AA644" s="2494"/>
      <c r="AB644" s="2494"/>
      <c r="AC644" s="2494"/>
      <c r="AD644" s="2494"/>
      <c r="AE644" s="536"/>
      <c r="AF644" s="2439" t="s">
        <v>1351</v>
      </c>
      <c r="AG644" s="2439"/>
      <c r="AH644" s="2439"/>
      <c r="AI644" s="2439"/>
      <c r="AJ644" s="2439"/>
      <c r="AK644" s="2439"/>
      <c r="AL644" s="2439"/>
      <c r="AN644" s="597"/>
    </row>
    <row r="645" spans="1:42" s="550" customFormat="1" ht="12.75" customHeight="1">
      <c r="B645" s="536"/>
      <c r="C645" s="536"/>
      <c r="D645" s="663"/>
      <c r="E645" s="2494"/>
      <c r="F645" s="2494"/>
      <c r="G645" s="2494"/>
      <c r="H645" s="2494"/>
      <c r="I645" s="2494"/>
      <c r="J645" s="2494"/>
      <c r="K645" s="2494"/>
      <c r="L645" s="2494"/>
      <c r="M645" s="2494"/>
      <c r="N645" s="2494"/>
      <c r="O645" s="2494"/>
      <c r="P645" s="2494"/>
      <c r="Q645" s="2494"/>
      <c r="R645" s="2494"/>
      <c r="S645" s="2494"/>
      <c r="T645" s="2494"/>
      <c r="U645" s="2494"/>
      <c r="V645" s="2494"/>
      <c r="W645" s="2494"/>
      <c r="X645" s="2494"/>
      <c r="Y645" s="2494"/>
      <c r="Z645" s="2494"/>
      <c r="AA645" s="2494"/>
      <c r="AB645" s="2494"/>
      <c r="AC645" s="2494"/>
      <c r="AD645" s="2494"/>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509</v>
      </c>
      <c r="E647" s="616" t="s">
        <v>1412</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439" t="s">
        <v>1407</v>
      </c>
      <c r="AG647" s="2439"/>
      <c r="AH647" s="2439"/>
      <c r="AI647" s="2439"/>
      <c r="AJ647" s="2439"/>
      <c r="AK647" s="2439"/>
      <c r="AL647" s="2439"/>
      <c r="AN647" s="597"/>
    </row>
    <row r="648" spans="1:42" s="550" customFormat="1" ht="12.75" customHeight="1">
      <c r="B648" s="536"/>
      <c r="C648" s="931"/>
      <c r="D648" s="663"/>
      <c r="E648" s="616" t="s">
        <v>1413</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1399</v>
      </c>
      <c r="E650" s="936"/>
      <c r="F650" s="936"/>
      <c r="G650" s="936"/>
      <c r="H650" s="2523" t="s">
        <v>509</v>
      </c>
      <c r="I650" s="2523"/>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1414</v>
      </c>
      <c r="AJ652" s="2474">
        <f>VLOOKUP(H650,AT605:AU607,2,FALSE)</f>
        <v>2</v>
      </c>
      <c r="AK652" s="2476"/>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1415</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1416</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687</v>
      </c>
      <c r="E657" s="2494" t="s">
        <v>1417</v>
      </c>
      <c r="F657" s="2494"/>
      <c r="G657" s="2494"/>
      <c r="H657" s="2494"/>
      <c r="I657" s="2494"/>
      <c r="J657" s="2494"/>
      <c r="K657" s="2494"/>
      <c r="L657" s="2494"/>
      <c r="M657" s="2494"/>
      <c r="N657" s="2494"/>
      <c r="O657" s="2494"/>
      <c r="P657" s="2494"/>
      <c r="Q657" s="2494"/>
      <c r="R657" s="2494"/>
      <c r="S657" s="2494"/>
      <c r="T657" s="2494"/>
      <c r="U657" s="2494"/>
      <c r="V657" s="2494"/>
      <c r="W657" s="2494"/>
      <c r="X657" s="2494"/>
      <c r="Y657" s="2494"/>
      <c r="Z657" s="2494"/>
      <c r="AA657" s="2494"/>
      <c r="AB657" s="2494"/>
      <c r="AC657" s="2494"/>
      <c r="AD657" s="536"/>
      <c r="AE657" s="536"/>
      <c r="AF657" s="2439" t="s">
        <v>1377</v>
      </c>
      <c r="AG657" s="2439"/>
      <c r="AH657" s="2439"/>
      <c r="AI657" s="2439"/>
      <c r="AJ657" s="2439"/>
      <c r="AK657" s="2439"/>
      <c r="AL657" s="2439"/>
      <c r="AN657" s="597"/>
    </row>
    <row r="658" spans="1:42" s="550" customFormat="1" ht="12.75" customHeight="1">
      <c r="B658" s="536"/>
      <c r="C658" s="539"/>
      <c r="D658" s="536"/>
      <c r="E658" s="2494"/>
      <c r="F658" s="2494"/>
      <c r="G658" s="2494"/>
      <c r="H658" s="2494"/>
      <c r="I658" s="2494"/>
      <c r="J658" s="2494"/>
      <c r="K658" s="2494"/>
      <c r="L658" s="2494"/>
      <c r="M658" s="2494"/>
      <c r="N658" s="2494"/>
      <c r="O658" s="2494"/>
      <c r="P658" s="2494"/>
      <c r="Q658" s="2494"/>
      <c r="R658" s="2494"/>
      <c r="S658" s="2494"/>
      <c r="T658" s="2494"/>
      <c r="U658" s="2494"/>
      <c r="V658" s="2494"/>
      <c r="W658" s="2494"/>
      <c r="X658" s="2494"/>
      <c r="Y658" s="2494"/>
      <c r="Z658" s="2494"/>
      <c r="AA658" s="2494"/>
      <c r="AB658" s="2494"/>
      <c r="AC658" s="2494"/>
      <c r="AD658" s="536"/>
      <c r="AE658" s="536"/>
      <c r="AF658" s="536"/>
      <c r="AG658" s="536"/>
      <c r="AH658" s="536"/>
      <c r="AI658" s="536"/>
      <c r="AJ658" s="536"/>
      <c r="AK658" s="536"/>
      <c r="AL658" s="536"/>
      <c r="AN658" s="597"/>
    </row>
    <row r="659" spans="1:42" s="550" customFormat="1" ht="12.75" customHeight="1">
      <c r="B659" s="536"/>
      <c r="C659" s="539"/>
      <c r="D659" s="663"/>
      <c r="E659" s="2494"/>
      <c r="F659" s="2494"/>
      <c r="G659" s="2494"/>
      <c r="H659" s="2494"/>
      <c r="I659" s="2494"/>
      <c r="J659" s="2494"/>
      <c r="K659" s="2494"/>
      <c r="L659" s="2494"/>
      <c r="M659" s="2494"/>
      <c r="N659" s="2494"/>
      <c r="O659" s="2494"/>
      <c r="P659" s="2494"/>
      <c r="Q659" s="2494"/>
      <c r="R659" s="2494"/>
      <c r="S659" s="2494"/>
      <c r="T659" s="2494"/>
      <c r="U659" s="2494"/>
      <c r="V659" s="2494"/>
      <c r="W659" s="2494"/>
      <c r="X659" s="2494"/>
      <c r="Y659" s="2494"/>
      <c r="Z659" s="2494"/>
      <c r="AA659" s="2494"/>
      <c r="AB659" s="2494"/>
      <c r="AC659" s="2494"/>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509</v>
      </c>
      <c r="E661" s="2494" t="s">
        <v>1418</v>
      </c>
      <c r="F661" s="2494"/>
      <c r="G661" s="2494"/>
      <c r="H661" s="2494"/>
      <c r="I661" s="2494"/>
      <c r="J661" s="2494"/>
      <c r="K661" s="2494"/>
      <c r="L661" s="2494"/>
      <c r="M661" s="2494"/>
      <c r="N661" s="2494"/>
      <c r="O661" s="2494"/>
      <c r="P661" s="2494"/>
      <c r="Q661" s="2494"/>
      <c r="R661" s="2494"/>
      <c r="S661" s="2494"/>
      <c r="T661" s="2494"/>
      <c r="U661" s="2494"/>
      <c r="V661" s="2494"/>
      <c r="W661" s="2494"/>
      <c r="X661" s="2494"/>
      <c r="Y661" s="2494"/>
      <c r="Z661" s="2494"/>
      <c r="AA661" s="2494"/>
      <c r="AB661" s="2494"/>
      <c r="AC661" s="2494"/>
      <c r="AD661" s="536"/>
      <c r="AE661" s="536"/>
      <c r="AF661" s="2439" t="s">
        <v>1398</v>
      </c>
      <c r="AG661" s="2439"/>
      <c r="AH661" s="2439"/>
      <c r="AI661" s="2439"/>
      <c r="AJ661" s="2439"/>
      <c r="AK661" s="2439"/>
      <c r="AL661" s="2439"/>
      <c r="AN661" s="597"/>
    </row>
    <row r="662" spans="1:42" s="550" customFormat="1" ht="12.75" customHeight="1">
      <c r="B662" s="536"/>
      <c r="C662" s="539"/>
      <c r="D662" s="536"/>
      <c r="E662" s="2494"/>
      <c r="F662" s="2494"/>
      <c r="G662" s="2494"/>
      <c r="H662" s="2494"/>
      <c r="I662" s="2494"/>
      <c r="J662" s="2494"/>
      <c r="K662" s="2494"/>
      <c r="L662" s="2494"/>
      <c r="M662" s="2494"/>
      <c r="N662" s="2494"/>
      <c r="O662" s="2494"/>
      <c r="P662" s="2494"/>
      <c r="Q662" s="2494"/>
      <c r="R662" s="2494"/>
      <c r="S662" s="2494"/>
      <c r="T662" s="2494"/>
      <c r="U662" s="2494"/>
      <c r="V662" s="2494"/>
      <c r="W662" s="2494"/>
      <c r="X662" s="2494"/>
      <c r="Y662" s="2494"/>
      <c r="Z662" s="2494"/>
      <c r="AA662" s="2494"/>
      <c r="AB662" s="2494"/>
      <c r="AC662" s="2494"/>
      <c r="AD662" s="536"/>
      <c r="AE662" s="536"/>
      <c r="AF662" s="536"/>
      <c r="AG662" s="536"/>
      <c r="AH662" s="536"/>
      <c r="AI662" s="536"/>
      <c r="AJ662" s="536"/>
      <c r="AK662" s="536"/>
      <c r="AL662" s="536"/>
      <c r="AN662" s="597"/>
    </row>
    <row r="663" spans="1:42" s="550" customFormat="1" ht="15" customHeight="1">
      <c r="B663" s="536"/>
      <c r="C663" s="539"/>
      <c r="D663" s="663"/>
      <c r="E663" s="2494"/>
      <c r="F663" s="2494"/>
      <c r="G663" s="2494"/>
      <c r="H663" s="2494"/>
      <c r="I663" s="2494"/>
      <c r="J663" s="2494"/>
      <c r="K663" s="2494"/>
      <c r="L663" s="2494"/>
      <c r="M663" s="2494"/>
      <c r="N663" s="2494"/>
      <c r="O663" s="2494"/>
      <c r="P663" s="2494"/>
      <c r="Q663" s="2494"/>
      <c r="R663" s="2494"/>
      <c r="S663" s="2494"/>
      <c r="T663" s="2494"/>
      <c r="U663" s="2494"/>
      <c r="V663" s="2494"/>
      <c r="W663" s="2494"/>
      <c r="X663" s="2494"/>
      <c r="Y663" s="2494"/>
      <c r="Z663" s="2494"/>
      <c r="AA663" s="2494"/>
      <c r="AB663" s="2494"/>
      <c r="AC663" s="2494"/>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277</v>
      </c>
      <c r="E665" s="2494" t="s">
        <v>1419</v>
      </c>
      <c r="F665" s="2494"/>
      <c r="G665" s="2494"/>
      <c r="H665" s="2494"/>
      <c r="I665" s="2494"/>
      <c r="J665" s="2494"/>
      <c r="K665" s="2494"/>
      <c r="L665" s="2494"/>
      <c r="M665" s="2494"/>
      <c r="N665" s="2494"/>
      <c r="O665" s="2494"/>
      <c r="P665" s="2494"/>
      <c r="Q665" s="2494"/>
      <c r="R665" s="2494"/>
      <c r="S665" s="2494"/>
      <c r="T665" s="2494"/>
      <c r="U665" s="2494"/>
      <c r="V665" s="2494"/>
      <c r="W665" s="2494"/>
      <c r="X665" s="2494"/>
      <c r="Y665" s="2494"/>
      <c r="Z665" s="2494"/>
      <c r="AA665" s="2494"/>
      <c r="AB665" s="2494"/>
      <c r="AC665" s="2494"/>
      <c r="AD665" s="536"/>
      <c r="AE665" s="536"/>
      <c r="AF665" s="2439" t="s">
        <v>1351</v>
      </c>
      <c r="AG665" s="2439"/>
      <c r="AH665" s="2439"/>
      <c r="AI665" s="2439"/>
      <c r="AJ665" s="2439"/>
      <c r="AK665" s="2439"/>
      <c r="AL665" s="2439"/>
      <c r="AN665" s="597"/>
    </row>
    <row r="666" spans="1:42" s="550" customFormat="1" ht="12.75" customHeight="1">
      <c r="B666" s="536"/>
      <c r="C666" s="931"/>
      <c r="D666" s="536"/>
      <c r="E666" s="2494"/>
      <c r="F666" s="2494"/>
      <c r="G666" s="2494"/>
      <c r="H666" s="2494"/>
      <c r="I666" s="2494"/>
      <c r="J666" s="2494"/>
      <c r="K666" s="2494"/>
      <c r="L666" s="2494"/>
      <c r="M666" s="2494"/>
      <c r="N666" s="2494"/>
      <c r="O666" s="2494"/>
      <c r="P666" s="2494"/>
      <c r="Q666" s="2494"/>
      <c r="R666" s="2494"/>
      <c r="S666" s="2494"/>
      <c r="T666" s="2494"/>
      <c r="U666" s="2494"/>
      <c r="V666" s="2494"/>
      <c r="W666" s="2494"/>
      <c r="X666" s="2494"/>
      <c r="Y666" s="2494"/>
      <c r="Z666" s="2494"/>
      <c r="AA666" s="2494"/>
      <c r="AB666" s="2494"/>
      <c r="AC666" s="2494"/>
      <c r="AD666" s="536"/>
      <c r="AE666" s="2439"/>
      <c r="AF666" s="2439"/>
      <c r="AG666" s="2439"/>
      <c r="AH666" s="2439"/>
      <c r="AI666" s="2439"/>
      <c r="AJ666" s="2439"/>
      <c r="AK666" s="2439"/>
      <c r="AL666" s="594"/>
      <c r="AN666" s="597"/>
      <c r="AO666" s="550" t="s">
        <v>591</v>
      </c>
      <c r="AP666" s="673">
        <v>0</v>
      </c>
    </row>
    <row r="667" spans="1:42" s="550" customFormat="1" ht="12.75" customHeight="1">
      <c r="A667" s="679"/>
      <c r="B667" s="536"/>
      <c r="C667" s="536"/>
      <c r="D667" s="663"/>
      <c r="E667" s="2494"/>
      <c r="F667" s="2494"/>
      <c r="G667" s="2494"/>
      <c r="H667" s="2494"/>
      <c r="I667" s="2494"/>
      <c r="J667" s="2494"/>
      <c r="K667" s="2494"/>
      <c r="L667" s="2494"/>
      <c r="M667" s="2494"/>
      <c r="N667" s="2494"/>
      <c r="O667" s="2494"/>
      <c r="P667" s="2494"/>
      <c r="Q667" s="2494"/>
      <c r="R667" s="2494"/>
      <c r="S667" s="2494"/>
      <c r="T667" s="2494"/>
      <c r="U667" s="2494"/>
      <c r="V667" s="2494"/>
      <c r="W667" s="2494"/>
      <c r="X667" s="2494"/>
      <c r="Y667" s="2494"/>
      <c r="Z667" s="2494"/>
      <c r="AA667" s="2494"/>
      <c r="AB667" s="2494"/>
      <c r="AC667" s="2494"/>
      <c r="AD667" s="536"/>
      <c r="AE667" s="536"/>
      <c r="AF667" s="536"/>
      <c r="AG667" s="536"/>
      <c r="AH667" s="536"/>
      <c r="AI667" s="536"/>
      <c r="AJ667" s="536"/>
      <c r="AK667" s="536"/>
      <c r="AL667" s="536"/>
      <c r="AN667" s="597"/>
      <c r="AO667" s="611" t="s">
        <v>687</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509</v>
      </c>
      <c r="AP668" s="550">
        <v>2</v>
      </c>
    </row>
    <row r="669" spans="1:42" s="550" customFormat="1" ht="12.75" customHeight="1">
      <c r="A669" s="670"/>
      <c r="B669" s="536"/>
      <c r="C669" s="947"/>
      <c r="D669" s="663" t="s">
        <v>1396</v>
      </c>
      <c r="E669" s="2494" t="s">
        <v>1420</v>
      </c>
      <c r="F669" s="2494"/>
      <c r="G669" s="2494"/>
      <c r="H669" s="2494"/>
      <c r="I669" s="2494"/>
      <c r="J669" s="2494"/>
      <c r="K669" s="2494"/>
      <c r="L669" s="2494"/>
      <c r="M669" s="2494"/>
      <c r="N669" s="2494"/>
      <c r="O669" s="2494"/>
      <c r="P669" s="2494"/>
      <c r="Q669" s="2494"/>
      <c r="R669" s="2494"/>
      <c r="S669" s="2494"/>
      <c r="T669" s="2494"/>
      <c r="U669" s="2494"/>
      <c r="V669" s="2494"/>
      <c r="W669" s="2494"/>
      <c r="X669" s="2494"/>
      <c r="Y669" s="2494"/>
      <c r="Z669" s="2494"/>
      <c r="AA669" s="2494"/>
      <c r="AB669" s="2494"/>
      <c r="AC669" s="2494"/>
      <c r="AD669" s="536"/>
      <c r="AE669" s="536"/>
      <c r="AF669" s="2439" t="s">
        <v>1398</v>
      </c>
      <c r="AG669" s="2439"/>
      <c r="AH669" s="2439"/>
      <c r="AI669" s="2439"/>
      <c r="AJ669" s="2439"/>
      <c r="AK669" s="2439"/>
      <c r="AL669" s="2439"/>
      <c r="AN669" s="597"/>
    </row>
    <row r="670" spans="1:42" s="550" customFormat="1" ht="12.75" customHeight="1">
      <c r="A670" s="670"/>
      <c r="B670" s="536"/>
      <c r="C670" s="947"/>
      <c r="D670" s="663"/>
      <c r="E670" s="2494"/>
      <c r="F670" s="2494"/>
      <c r="G670" s="2494"/>
      <c r="H670" s="2494"/>
      <c r="I670" s="2494"/>
      <c r="J670" s="2494"/>
      <c r="K670" s="2494"/>
      <c r="L670" s="2494"/>
      <c r="M670" s="2494"/>
      <c r="N670" s="2494"/>
      <c r="O670" s="2494"/>
      <c r="P670" s="2494"/>
      <c r="Q670" s="2494"/>
      <c r="R670" s="2494"/>
      <c r="S670" s="2494"/>
      <c r="T670" s="2494"/>
      <c r="U670" s="2494"/>
      <c r="V670" s="2494"/>
      <c r="W670" s="2494"/>
      <c r="X670" s="2494"/>
      <c r="Y670" s="2494"/>
      <c r="Z670" s="2494"/>
      <c r="AA670" s="2494"/>
      <c r="AB670" s="2494"/>
      <c r="AC670" s="2494"/>
      <c r="AD670" s="536"/>
      <c r="AE670" s="594"/>
      <c r="AF670" s="594"/>
      <c r="AG670" s="594"/>
      <c r="AH670" s="594"/>
      <c r="AI670" s="594"/>
      <c r="AJ670" s="594"/>
      <c r="AK670" s="594"/>
      <c r="AL670" s="594"/>
      <c r="AM670" s="596"/>
      <c r="AN670" s="597"/>
    </row>
    <row r="671" spans="1:42" s="550" customFormat="1" ht="12.75" customHeight="1">
      <c r="A671" s="670"/>
      <c r="B671" s="536"/>
      <c r="C671" s="947"/>
      <c r="D671" s="663"/>
      <c r="E671" s="2494"/>
      <c r="F671" s="2494"/>
      <c r="G671" s="2494"/>
      <c r="H671" s="2494"/>
      <c r="I671" s="2494"/>
      <c r="J671" s="2494"/>
      <c r="K671" s="2494"/>
      <c r="L671" s="2494"/>
      <c r="M671" s="2494"/>
      <c r="N671" s="2494"/>
      <c r="O671" s="2494"/>
      <c r="P671" s="2494"/>
      <c r="Q671" s="2494"/>
      <c r="R671" s="2494"/>
      <c r="S671" s="2494"/>
      <c r="T671" s="2494"/>
      <c r="U671" s="2494"/>
      <c r="V671" s="2494"/>
      <c r="W671" s="2494"/>
      <c r="X671" s="2494"/>
      <c r="Y671" s="2494"/>
      <c r="Z671" s="2494"/>
      <c r="AA671" s="2494"/>
      <c r="AB671" s="2494"/>
      <c r="AC671" s="2494"/>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1397</v>
      </c>
      <c r="E673" s="2494" t="s">
        <v>1421</v>
      </c>
      <c r="F673" s="2494"/>
      <c r="G673" s="2494"/>
      <c r="H673" s="2494"/>
      <c r="I673" s="2494"/>
      <c r="J673" s="2494"/>
      <c r="K673" s="2494"/>
      <c r="L673" s="2494"/>
      <c r="M673" s="2494"/>
      <c r="N673" s="2494"/>
      <c r="O673" s="2494"/>
      <c r="P673" s="2494"/>
      <c r="Q673" s="2494"/>
      <c r="R673" s="2494"/>
      <c r="S673" s="2494"/>
      <c r="T673" s="2494"/>
      <c r="U673" s="2494"/>
      <c r="V673" s="2494"/>
      <c r="W673" s="2494"/>
      <c r="X673" s="2494"/>
      <c r="Y673" s="2494"/>
      <c r="Z673" s="2494"/>
      <c r="AA673" s="2494"/>
      <c r="AB673" s="2494"/>
      <c r="AC673" s="2494"/>
      <c r="AD673" s="536"/>
      <c r="AE673" s="536"/>
      <c r="AF673" s="2439" t="s">
        <v>1351</v>
      </c>
      <c r="AG673" s="2439"/>
      <c r="AH673" s="2439"/>
      <c r="AI673" s="2439"/>
      <c r="AJ673" s="2439"/>
      <c r="AK673" s="2439"/>
      <c r="AL673" s="2439"/>
      <c r="AM673" s="596"/>
      <c r="AN673" s="597"/>
    </row>
    <row r="674" spans="1:42" s="550" customFormat="1" ht="12.75" customHeight="1">
      <c r="B674" s="536"/>
      <c r="C674" s="931"/>
      <c r="D674" s="663"/>
      <c r="E674" s="2494"/>
      <c r="F674" s="2494"/>
      <c r="G674" s="2494"/>
      <c r="H674" s="2494"/>
      <c r="I674" s="2494"/>
      <c r="J674" s="2494"/>
      <c r="K674" s="2494"/>
      <c r="L674" s="2494"/>
      <c r="M674" s="2494"/>
      <c r="N674" s="2494"/>
      <c r="O674" s="2494"/>
      <c r="P674" s="2494"/>
      <c r="Q674" s="2494"/>
      <c r="R674" s="2494"/>
      <c r="S674" s="2494"/>
      <c r="T674" s="2494"/>
      <c r="U674" s="2494"/>
      <c r="V674" s="2494"/>
      <c r="W674" s="2494"/>
      <c r="X674" s="2494"/>
      <c r="Y674" s="2494"/>
      <c r="Z674" s="2494"/>
      <c r="AA674" s="2494"/>
      <c r="AB674" s="2494"/>
      <c r="AC674" s="2494"/>
      <c r="AD674" s="536"/>
      <c r="AE674" s="536"/>
      <c r="AF674" s="536"/>
      <c r="AG674" s="536"/>
      <c r="AH674" s="536"/>
      <c r="AI674" s="536"/>
      <c r="AJ674" s="536"/>
      <c r="AK674" s="536"/>
      <c r="AL674" s="536"/>
      <c r="AM674" s="596"/>
      <c r="AN674" s="597"/>
    </row>
    <row r="675" spans="1:42" s="550" customFormat="1" ht="12.75" customHeight="1">
      <c r="B675" s="536"/>
      <c r="C675" s="931"/>
      <c r="D675" s="663"/>
      <c r="E675" s="2494"/>
      <c r="F675" s="2494"/>
      <c r="G675" s="2494"/>
      <c r="H675" s="2494"/>
      <c r="I675" s="2494"/>
      <c r="J675" s="2494"/>
      <c r="K675" s="2494"/>
      <c r="L675" s="2494"/>
      <c r="M675" s="2494"/>
      <c r="N675" s="2494"/>
      <c r="O675" s="2494"/>
      <c r="P675" s="2494"/>
      <c r="Q675" s="2494"/>
      <c r="R675" s="2494"/>
      <c r="S675" s="2494"/>
      <c r="T675" s="2494"/>
      <c r="U675" s="2494"/>
      <c r="V675" s="2494"/>
      <c r="W675" s="2494"/>
      <c r="X675" s="2494"/>
      <c r="Y675" s="2494"/>
      <c r="Z675" s="2494"/>
      <c r="AA675" s="2494"/>
      <c r="AB675" s="2494"/>
      <c r="AC675" s="2494"/>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1408</v>
      </c>
      <c r="E677" s="2494" t="s">
        <v>1422</v>
      </c>
      <c r="F677" s="2494"/>
      <c r="G677" s="2494"/>
      <c r="H677" s="2494"/>
      <c r="I677" s="2494"/>
      <c r="J677" s="2494"/>
      <c r="K677" s="2494"/>
      <c r="L677" s="2494"/>
      <c r="M677" s="2494"/>
      <c r="N677" s="2494"/>
      <c r="O677" s="2494"/>
      <c r="P677" s="2494"/>
      <c r="Q677" s="2494"/>
      <c r="R677" s="2494"/>
      <c r="S677" s="2494"/>
      <c r="T677" s="2494"/>
      <c r="U677" s="2494"/>
      <c r="V677" s="2494"/>
      <c r="W677" s="2494"/>
      <c r="X677" s="2494"/>
      <c r="Y677" s="2494"/>
      <c r="Z677" s="2494"/>
      <c r="AA677" s="2494"/>
      <c r="AB677" s="2494"/>
      <c r="AC677" s="2494"/>
      <c r="AD677" s="536"/>
      <c r="AE677" s="536"/>
      <c r="AF677" s="2439" t="s">
        <v>1407</v>
      </c>
      <c r="AG677" s="2439"/>
      <c r="AH677" s="2439"/>
      <c r="AI677" s="2439"/>
      <c r="AJ677" s="2439"/>
      <c r="AK677" s="2439"/>
      <c r="AL677" s="2439"/>
      <c r="AM677" s="596"/>
      <c r="AN677" s="597"/>
    </row>
    <row r="678" spans="1:42" s="550" customFormat="1" ht="12.75" customHeight="1">
      <c r="A678" s="679"/>
      <c r="B678" s="536"/>
      <c r="C678" s="931"/>
      <c r="D678" s="663"/>
      <c r="E678" s="2494"/>
      <c r="F678" s="2494"/>
      <c r="G678" s="2494"/>
      <c r="H678" s="2494"/>
      <c r="I678" s="2494"/>
      <c r="J678" s="2494"/>
      <c r="K678" s="2494"/>
      <c r="L678" s="2494"/>
      <c r="M678" s="2494"/>
      <c r="N678" s="2494"/>
      <c r="O678" s="2494"/>
      <c r="P678" s="2494"/>
      <c r="Q678" s="2494"/>
      <c r="R678" s="2494"/>
      <c r="S678" s="2494"/>
      <c r="T678" s="2494"/>
      <c r="U678" s="2494"/>
      <c r="V678" s="2494"/>
      <c r="W678" s="2494"/>
      <c r="X678" s="2494"/>
      <c r="Y678" s="2494"/>
      <c r="Z678" s="2494"/>
      <c r="AA678" s="2494"/>
      <c r="AB678" s="2494"/>
      <c r="AC678" s="2494"/>
      <c r="AD678" s="536"/>
      <c r="AE678" s="536"/>
      <c r="AF678" s="594"/>
      <c r="AG678" s="594"/>
      <c r="AH678" s="594"/>
      <c r="AI678" s="594"/>
      <c r="AJ678" s="594"/>
      <c r="AK678" s="594"/>
      <c r="AL678" s="594"/>
      <c r="AM678" s="596"/>
      <c r="AN678" s="597"/>
    </row>
    <row r="679" spans="1:42" s="550" customFormat="1" ht="12.75" customHeight="1">
      <c r="A679" s="679"/>
      <c r="B679" s="536"/>
      <c r="C679" s="931"/>
      <c r="D679" s="663"/>
      <c r="E679" s="2494"/>
      <c r="F679" s="2494"/>
      <c r="G679" s="2494"/>
      <c r="H679" s="2494"/>
      <c r="I679" s="2494"/>
      <c r="J679" s="2494"/>
      <c r="K679" s="2494"/>
      <c r="L679" s="2494"/>
      <c r="M679" s="2494"/>
      <c r="N679" s="2494"/>
      <c r="O679" s="2494"/>
      <c r="P679" s="2494"/>
      <c r="Q679" s="2494"/>
      <c r="R679" s="2494"/>
      <c r="S679" s="2494"/>
      <c r="T679" s="2494"/>
      <c r="U679" s="2494"/>
      <c r="V679" s="2494"/>
      <c r="W679" s="2494"/>
      <c r="X679" s="2494"/>
      <c r="Y679" s="2494"/>
      <c r="Z679" s="2494"/>
      <c r="AA679" s="2494"/>
      <c r="AB679" s="2494"/>
      <c r="AC679" s="2494"/>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591</v>
      </c>
      <c r="AP680" s="637">
        <v>0</v>
      </c>
    </row>
    <row r="681" spans="1:42" s="550" customFormat="1" ht="12.75" customHeight="1">
      <c r="A681" s="679"/>
      <c r="B681" s="536"/>
      <c r="C681" s="931"/>
      <c r="D681" s="663" t="s">
        <v>1410</v>
      </c>
      <c r="E681" s="2494" t="s">
        <v>1423</v>
      </c>
      <c r="F681" s="2494"/>
      <c r="G681" s="2494"/>
      <c r="H681" s="2494"/>
      <c r="I681" s="2494"/>
      <c r="J681" s="2494"/>
      <c r="K681" s="2494"/>
      <c r="L681" s="2494"/>
      <c r="M681" s="2494"/>
      <c r="N681" s="2494"/>
      <c r="O681" s="2494"/>
      <c r="P681" s="2494"/>
      <c r="Q681" s="2494"/>
      <c r="R681" s="2494"/>
      <c r="S681" s="2494"/>
      <c r="T681" s="2494"/>
      <c r="U681" s="2494"/>
      <c r="V681" s="2494"/>
      <c r="W681" s="2494"/>
      <c r="X681" s="2494"/>
      <c r="Y681" s="2494"/>
      <c r="Z681" s="2494"/>
      <c r="AA681" s="2494"/>
      <c r="AB681" s="2494"/>
      <c r="AC681" s="2494"/>
      <c r="AD681" s="536"/>
      <c r="AE681" s="536"/>
      <c r="AF681" s="2439" t="s">
        <v>1424</v>
      </c>
      <c r="AG681" s="2439"/>
      <c r="AH681" s="2439"/>
      <c r="AI681" s="2439"/>
      <c r="AJ681" s="2439"/>
      <c r="AK681" s="2439"/>
      <c r="AL681" s="2439"/>
      <c r="AM681" s="596"/>
      <c r="AN681" s="597"/>
      <c r="AO681" s="611" t="s">
        <v>687</v>
      </c>
      <c r="AP681" s="550">
        <v>3</v>
      </c>
    </row>
    <row r="682" spans="1:42" s="550" customFormat="1" ht="12.75" customHeight="1">
      <c r="A682" s="679"/>
      <c r="B682" s="536"/>
      <c r="C682" s="931"/>
      <c r="D682" s="663"/>
      <c r="E682" s="2494"/>
      <c r="F682" s="2494"/>
      <c r="G682" s="2494"/>
      <c r="H682" s="2494"/>
      <c r="I682" s="2494"/>
      <c r="J682" s="2494"/>
      <c r="K682" s="2494"/>
      <c r="L682" s="2494"/>
      <c r="M682" s="2494"/>
      <c r="N682" s="2494"/>
      <c r="O682" s="2494"/>
      <c r="P682" s="2494"/>
      <c r="Q682" s="2494"/>
      <c r="R682" s="2494"/>
      <c r="S682" s="2494"/>
      <c r="T682" s="2494"/>
      <c r="U682" s="2494"/>
      <c r="V682" s="2494"/>
      <c r="W682" s="2494"/>
      <c r="X682" s="2494"/>
      <c r="Y682" s="2494"/>
      <c r="Z682" s="2494"/>
      <c r="AA682" s="2494"/>
      <c r="AB682" s="2494"/>
      <c r="AC682" s="2494"/>
      <c r="AD682" s="536"/>
      <c r="AE682" s="536"/>
      <c r="AF682" s="594"/>
      <c r="AG682" s="594"/>
      <c r="AH682" s="594"/>
      <c r="AI682" s="594"/>
      <c r="AJ682" s="594"/>
      <c r="AK682" s="594"/>
      <c r="AL682" s="594"/>
      <c r="AM682" s="596"/>
      <c r="AN682" s="597"/>
      <c r="AO682" s="611" t="s">
        <v>509</v>
      </c>
      <c r="AP682" s="550">
        <v>2</v>
      </c>
    </row>
    <row r="683" spans="1:42" s="550" customFormat="1" ht="12.75" customHeight="1">
      <c r="A683" s="679"/>
      <c r="B683" s="536"/>
      <c r="C683" s="931"/>
      <c r="D683" s="663"/>
      <c r="E683" s="2494"/>
      <c r="F683" s="2494"/>
      <c r="G683" s="2494"/>
      <c r="H683" s="2494"/>
      <c r="I683" s="2494"/>
      <c r="J683" s="2494"/>
      <c r="K683" s="2494"/>
      <c r="L683" s="2494"/>
      <c r="M683" s="2494"/>
      <c r="N683" s="2494"/>
      <c r="O683" s="2494"/>
      <c r="P683" s="2494"/>
      <c r="Q683" s="2494"/>
      <c r="R683" s="2494"/>
      <c r="S683" s="2494"/>
      <c r="T683" s="2494"/>
      <c r="U683" s="2494"/>
      <c r="V683" s="2494"/>
      <c r="W683" s="2494"/>
      <c r="X683" s="2494"/>
      <c r="Y683" s="2494"/>
      <c r="Z683" s="2494"/>
      <c r="AA683" s="2494"/>
      <c r="AB683" s="2494"/>
      <c r="AC683" s="2494"/>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1399</v>
      </c>
      <c r="E685" s="936"/>
      <c r="F685" s="936"/>
      <c r="G685" s="936"/>
      <c r="H685" s="2523" t="s">
        <v>687</v>
      </c>
      <c r="I685" s="2523"/>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1425</v>
      </c>
      <c r="AJ687" s="2474">
        <f>VLOOKUP($H$685,$AO$633:$AP$640,2,FALSE)</f>
        <v>5</v>
      </c>
      <c r="AK687" s="2476"/>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2135</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2182</v>
      </c>
      <c r="AX689" s="550">
        <f>Application!Q212</f>
        <v>0</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2183</v>
      </c>
      <c r="AX690" s="1152">
        <f>Application!G753</f>
        <v>269</v>
      </c>
    </row>
    <row r="691" spans="1:51" s="550" customFormat="1" ht="12.75" customHeight="1">
      <c r="A691" s="679"/>
      <c r="B691" s="536"/>
      <c r="C691" s="948"/>
      <c r="D691" s="663" t="s">
        <v>687</v>
      </c>
      <c r="E691" s="2530" t="s">
        <v>2189</v>
      </c>
      <c r="F691" s="2530"/>
      <c r="G691" s="2530"/>
      <c r="H691" s="2530"/>
      <c r="I691" s="2530"/>
      <c r="J691" s="2530"/>
      <c r="K691" s="2530"/>
      <c r="L691" s="2530"/>
      <c r="M691" s="2530"/>
      <c r="N691" s="2530"/>
      <c r="O691" s="2530"/>
      <c r="P691" s="2530"/>
      <c r="Q691" s="2530"/>
      <c r="R691" s="2530"/>
      <c r="S691" s="2530"/>
      <c r="T691" s="2530"/>
      <c r="U691" s="2530"/>
      <c r="V691" s="2530"/>
      <c r="W691" s="2530"/>
      <c r="X691" s="2530"/>
      <c r="Y691" s="2530"/>
      <c r="Z691" s="2530"/>
      <c r="AA691" s="2530"/>
      <c r="AB691" s="2530"/>
      <c r="AC691" s="536"/>
      <c r="AD691" s="536"/>
      <c r="AE691" s="536"/>
      <c r="AF691" s="2439" t="s">
        <v>1351</v>
      </c>
      <c r="AG691" s="2439"/>
      <c r="AH691" s="2439"/>
      <c r="AI691" s="2439"/>
      <c r="AJ691" s="2439"/>
      <c r="AK691" s="2439"/>
      <c r="AL691" s="2439"/>
      <c r="AN691" s="597"/>
      <c r="AW691" s="22" t="s">
        <v>2184</v>
      </c>
      <c r="AX691" s="550">
        <f>Application!DE753</f>
        <v>14</v>
      </c>
    </row>
    <row r="692" spans="1:51" s="550" customFormat="1" ht="12.75" customHeight="1">
      <c r="A692" s="679"/>
      <c r="B692" s="536"/>
      <c r="C692" s="948"/>
      <c r="D692" s="663"/>
      <c r="E692" s="2530"/>
      <c r="F692" s="2530"/>
      <c r="G692" s="2530"/>
      <c r="H692" s="2530"/>
      <c r="I692" s="2530"/>
      <c r="J692" s="2530"/>
      <c r="K692" s="2530"/>
      <c r="L692" s="2530"/>
      <c r="M692" s="2530"/>
      <c r="N692" s="2530"/>
      <c r="O692" s="2530"/>
      <c r="P692" s="2530"/>
      <c r="Q692" s="2530"/>
      <c r="R692" s="2530"/>
      <c r="S692" s="2530"/>
      <c r="T692" s="2530"/>
      <c r="U692" s="2530"/>
      <c r="V692" s="2530"/>
      <c r="W692" s="2530"/>
      <c r="X692" s="2530"/>
      <c r="Y692" s="2530"/>
      <c r="Z692" s="2530"/>
      <c r="AA692" s="2530"/>
      <c r="AB692" s="2530"/>
      <c r="AC692" s="536"/>
      <c r="AD692" s="536"/>
      <c r="AE692" s="536"/>
      <c r="AF692" s="536"/>
      <c r="AG692" s="536"/>
      <c r="AH692" s="536"/>
      <c r="AI692" s="536"/>
      <c r="AJ692" s="536"/>
      <c r="AK692" s="536"/>
      <c r="AL692" s="536"/>
      <c r="AN692" s="597"/>
      <c r="AW692" s="22" t="s">
        <v>2185</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2186</v>
      </c>
      <c r="AX693" s="550">
        <f>Application!DO753</f>
        <v>0</v>
      </c>
    </row>
    <row r="694" spans="1:51" s="550" customFormat="1" ht="12.75" customHeight="1">
      <c r="B694" s="536"/>
      <c r="C694" s="931"/>
      <c r="D694" s="663" t="s">
        <v>509</v>
      </c>
      <c r="E694" s="2494" t="s">
        <v>2133</v>
      </c>
      <c r="F694" s="2494"/>
      <c r="G694" s="2494"/>
      <c r="H694" s="2494"/>
      <c r="I694" s="2494"/>
      <c r="J694" s="2494"/>
      <c r="K694" s="2494"/>
      <c r="L694" s="2494"/>
      <c r="M694" s="2494"/>
      <c r="N694" s="2494"/>
      <c r="O694" s="2494"/>
      <c r="P694" s="2494"/>
      <c r="Q694" s="2494"/>
      <c r="R694" s="2494"/>
      <c r="S694" s="2494"/>
      <c r="T694" s="2494"/>
      <c r="U694" s="2494"/>
      <c r="V694" s="2494"/>
      <c r="W694" s="2494"/>
      <c r="X694" s="2494"/>
      <c r="Y694" s="2494"/>
      <c r="Z694" s="2494"/>
      <c r="AA694" s="2494"/>
      <c r="AB694" s="2494"/>
      <c r="AC694" s="536"/>
      <c r="AD694" s="536"/>
      <c r="AE694" s="536"/>
      <c r="AF694" s="2439" t="s">
        <v>1351</v>
      </c>
      <c r="AG694" s="2439"/>
      <c r="AH694" s="2439"/>
      <c r="AI694" s="2439"/>
      <c r="AJ694" s="2439"/>
      <c r="AK694" s="2439"/>
      <c r="AL694" s="2439"/>
      <c r="AN694" s="597"/>
      <c r="AW694" s="22" t="s">
        <v>2187</v>
      </c>
      <c r="AX694" s="550">
        <f>AX691+AX692+AX693</f>
        <v>14</v>
      </c>
    </row>
    <row r="695" spans="1:51" s="550" customFormat="1" ht="12.75" customHeight="1">
      <c r="B695" s="536"/>
      <c r="C695" s="940"/>
      <c r="D695" s="663"/>
      <c r="E695" s="2494"/>
      <c r="F695" s="2494"/>
      <c r="G695" s="2494"/>
      <c r="H695" s="2494"/>
      <c r="I695" s="2494"/>
      <c r="J695" s="2494"/>
      <c r="K695" s="2494"/>
      <c r="L695" s="2494"/>
      <c r="M695" s="2494"/>
      <c r="N695" s="2494"/>
      <c r="O695" s="2494"/>
      <c r="P695" s="2494"/>
      <c r="Q695" s="2494"/>
      <c r="R695" s="2494"/>
      <c r="S695" s="2494"/>
      <c r="T695" s="2494"/>
      <c r="U695" s="2494"/>
      <c r="V695" s="2494"/>
      <c r="W695" s="2494"/>
      <c r="X695" s="2494"/>
      <c r="Y695" s="2494"/>
      <c r="Z695" s="2494"/>
      <c r="AA695" s="2494"/>
      <c r="AB695" s="2494"/>
      <c r="AC695" s="536"/>
      <c r="AD695" s="536"/>
      <c r="AE695" s="616"/>
      <c r="AF695" s="536"/>
      <c r="AG695" s="536"/>
      <c r="AH695" s="536"/>
      <c r="AI695" s="536"/>
      <c r="AJ695" s="536"/>
      <c r="AK695" s="536"/>
      <c r="AL695" s="536"/>
      <c r="AN695" s="597"/>
      <c r="AO695" s="2529" t="b">
        <f>IF(Application!D211="Special Needs",IF(AY695&gt;=0.25,TRUE,FALSE),IF(AX695&gt;=0.25,TRUE,FALSE))</f>
        <v>0</v>
      </c>
      <c r="AP695" s="2529"/>
      <c r="AW695" s="22" t="s">
        <v>2188</v>
      </c>
      <c r="AX695" s="550">
        <f>IFERROR(AX694/AX690,0)</f>
        <v>5.204460966542751E-2</v>
      </c>
      <c r="AY695" s="550">
        <f>IFERROR(AX694/(AX690-AX689),0)</f>
        <v>5.204460966542751E-2</v>
      </c>
    </row>
    <row r="696" spans="1:51" s="550" customFormat="1" ht="12.75" customHeight="1">
      <c r="B696" s="536"/>
      <c r="C696" s="940"/>
      <c r="E696" s="2494"/>
      <c r="F696" s="2494"/>
      <c r="G696" s="2494"/>
      <c r="H696" s="2494"/>
      <c r="I696" s="2494"/>
      <c r="J696" s="2494"/>
      <c r="K696" s="2494"/>
      <c r="L696" s="2494"/>
      <c r="M696" s="2494"/>
      <c r="N696" s="2494"/>
      <c r="O696" s="2494"/>
      <c r="P696" s="2494"/>
      <c r="Q696" s="2494"/>
      <c r="R696" s="2494"/>
      <c r="S696" s="2494"/>
      <c r="T696" s="2494"/>
      <c r="U696" s="2494"/>
      <c r="V696" s="2494"/>
      <c r="W696" s="2494"/>
      <c r="X696" s="2494"/>
      <c r="Y696" s="2494"/>
      <c r="Z696" s="2494"/>
      <c r="AA696" s="2494"/>
      <c r="AB696" s="2494"/>
      <c r="AC696" s="536"/>
      <c r="AD696" s="536"/>
      <c r="AE696" s="616"/>
      <c r="AF696" s="616"/>
      <c r="AG696" s="616"/>
      <c r="AH696" s="616"/>
      <c r="AI696" s="616"/>
      <c r="AJ696" s="616"/>
      <c r="AK696" s="616"/>
      <c r="AL696" s="616"/>
      <c r="AN696" s="597"/>
      <c r="AW696" s="14"/>
    </row>
    <row r="697" spans="1:51" s="550" customFormat="1" ht="28.5" customHeight="1">
      <c r="B697" s="536"/>
      <c r="C697" s="940"/>
      <c r="D697" s="536"/>
      <c r="E697" s="2494"/>
      <c r="F697" s="2494"/>
      <c r="G697" s="2494"/>
      <c r="H697" s="2494"/>
      <c r="I697" s="2494"/>
      <c r="J697" s="2494"/>
      <c r="K697" s="2494"/>
      <c r="L697" s="2494"/>
      <c r="M697" s="2494"/>
      <c r="N697" s="2494"/>
      <c r="O697" s="2494"/>
      <c r="P697" s="2494"/>
      <c r="Q697" s="2494"/>
      <c r="R697" s="2494"/>
      <c r="S697" s="2494"/>
      <c r="T697" s="2494"/>
      <c r="U697" s="2494"/>
      <c r="V697" s="2494"/>
      <c r="W697" s="2494"/>
      <c r="X697" s="2494"/>
      <c r="Y697" s="2494"/>
      <c r="Z697" s="2494"/>
      <c r="AA697" s="2494"/>
      <c r="AB697" s="2494"/>
      <c r="AC697" s="536"/>
      <c r="AD697" s="536"/>
      <c r="AE697" s="616"/>
      <c r="AF697" s="616"/>
      <c r="AG697" s="616"/>
      <c r="AH697" s="616"/>
      <c r="AI697" s="616"/>
      <c r="AJ697" s="616"/>
      <c r="AK697" s="616"/>
      <c r="AL697" s="616"/>
      <c r="AN697" s="597"/>
      <c r="AO697" s="550" t="s">
        <v>591</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687</v>
      </c>
      <c r="AP698" s="550">
        <v>2</v>
      </c>
    </row>
    <row r="699" spans="1:51" s="550" customFormat="1" ht="12.75" customHeight="1">
      <c r="B699" s="536"/>
      <c r="C699" s="931"/>
      <c r="D699" s="663" t="s">
        <v>277</v>
      </c>
      <c r="E699" s="2494" t="s">
        <v>2134</v>
      </c>
      <c r="F699" s="2494"/>
      <c r="G699" s="2494"/>
      <c r="H699" s="2494"/>
      <c r="I699" s="2494"/>
      <c r="J699" s="2494"/>
      <c r="K699" s="2494"/>
      <c r="L699" s="2494"/>
      <c r="M699" s="2494"/>
      <c r="N699" s="2494"/>
      <c r="O699" s="2494"/>
      <c r="P699" s="2494"/>
      <c r="Q699" s="2494"/>
      <c r="R699" s="2494"/>
      <c r="S699" s="2494"/>
      <c r="T699" s="2494"/>
      <c r="U699" s="2494"/>
      <c r="V699" s="2494"/>
      <c r="W699" s="2494"/>
      <c r="X699" s="2494"/>
      <c r="Y699" s="2494"/>
      <c r="Z699" s="2494"/>
      <c r="AA699" s="2494"/>
      <c r="AB699" s="2494"/>
      <c r="AC699" s="536"/>
      <c r="AD699" s="536"/>
      <c r="AE699" s="536"/>
      <c r="AF699" s="2439" t="s">
        <v>1407</v>
      </c>
      <c r="AG699" s="2439"/>
      <c r="AH699" s="2439"/>
      <c r="AI699" s="2439"/>
      <c r="AJ699" s="2439"/>
      <c r="AK699" s="2439"/>
      <c r="AL699" s="2439"/>
      <c r="AN699" s="597"/>
      <c r="AO699" s="611" t="s">
        <v>509</v>
      </c>
      <c r="AP699" s="550">
        <v>1</v>
      </c>
    </row>
    <row r="700" spans="1:51" s="550" customFormat="1" ht="12" customHeight="1">
      <c r="B700" s="536"/>
      <c r="C700" s="931"/>
      <c r="E700" s="2494"/>
      <c r="F700" s="2494"/>
      <c r="G700" s="2494"/>
      <c r="H700" s="2494"/>
      <c r="I700" s="2494"/>
      <c r="J700" s="2494"/>
      <c r="K700" s="2494"/>
      <c r="L700" s="2494"/>
      <c r="M700" s="2494"/>
      <c r="N700" s="2494"/>
      <c r="O700" s="2494"/>
      <c r="P700" s="2494"/>
      <c r="Q700" s="2494"/>
      <c r="R700" s="2494"/>
      <c r="S700" s="2494"/>
      <c r="T700" s="2494"/>
      <c r="U700" s="2494"/>
      <c r="V700" s="2494"/>
      <c r="W700" s="2494"/>
      <c r="X700" s="2494"/>
      <c r="Y700" s="2494"/>
      <c r="Z700" s="2494"/>
      <c r="AA700" s="2494"/>
      <c r="AB700" s="2494"/>
      <c r="AC700" s="536"/>
      <c r="AD700" s="536"/>
      <c r="AE700" s="616"/>
      <c r="AF700" s="536"/>
      <c r="AG700" s="536"/>
      <c r="AH700" s="536"/>
      <c r="AI700" s="536"/>
      <c r="AJ700" s="536"/>
      <c r="AK700" s="536"/>
      <c r="AL700" s="536"/>
      <c r="AN700" s="597"/>
    </row>
    <row r="701" spans="1:51" s="550" customFormat="1" ht="12" customHeight="1">
      <c r="B701" s="536"/>
      <c r="C701" s="931"/>
      <c r="D701" s="536"/>
      <c r="E701" s="2494"/>
      <c r="F701" s="2494"/>
      <c r="G701" s="2494"/>
      <c r="H701" s="2494"/>
      <c r="I701" s="2494"/>
      <c r="J701" s="2494"/>
      <c r="K701" s="2494"/>
      <c r="L701" s="2494"/>
      <c r="M701" s="2494"/>
      <c r="N701" s="2494"/>
      <c r="O701" s="2494"/>
      <c r="P701" s="2494"/>
      <c r="Q701" s="2494"/>
      <c r="R701" s="2494"/>
      <c r="S701" s="2494"/>
      <c r="T701" s="2494"/>
      <c r="U701" s="2494"/>
      <c r="V701" s="2494"/>
      <c r="W701" s="2494"/>
      <c r="X701" s="2494"/>
      <c r="Y701" s="2494"/>
      <c r="Z701" s="2494"/>
      <c r="AA701" s="2494"/>
      <c r="AB701" s="2494"/>
      <c r="AC701" s="536"/>
      <c r="AD701" s="536"/>
      <c r="AE701" s="616"/>
      <c r="AF701" s="536"/>
      <c r="AG701" s="536"/>
      <c r="AH701" s="536"/>
      <c r="AI701" s="536"/>
      <c r="AJ701" s="536"/>
      <c r="AK701" s="536"/>
      <c r="AL701" s="536"/>
      <c r="AN701" s="597"/>
    </row>
    <row r="702" spans="1:51" s="550" customFormat="1" ht="12" customHeight="1">
      <c r="B702" s="536"/>
      <c r="C702" s="931"/>
      <c r="D702" s="536"/>
      <c r="E702" s="2494"/>
      <c r="F702" s="2494"/>
      <c r="G702" s="2494"/>
      <c r="H702" s="2494"/>
      <c r="I702" s="2494"/>
      <c r="J702" s="2494"/>
      <c r="K702" s="2494"/>
      <c r="L702" s="2494"/>
      <c r="M702" s="2494"/>
      <c r="N702" s="2494"/>
      <c r="O702" s="2494"/>
      <c r="P702" s="2494"/>
      <c r="Q702" s="2494"/>
      <c r="R702" s="2494"/>
      <c r="S702" s="2494"/>
      <c r="T702" s="2494"/>
      <c r="U702" s="2494"/>
      <c r="V702" s="2494"/>
      <c r="W702" s="2494"/>
      <c r="X702" s="2494"/>
      <c r="Y702" s="2494"/>
      <c r="Z702" s="2494"/>
      <c r="AA702" s="2494"/>
      <c r="AB702" s="2494"/>
      <c r="AC702" s="536"/>
      <c r="AD702" s="536"/>
      <c r="AE702" s="616"/>
      <c r="AF702" s="536"/>
      <c r="AG702" s="536"/>
      <c r="AH702" s="536"/>
      <c r="AI702" s="536"/>
      <c r="AJ702" s="536"/>
      <c r="AK702" s="536"/>
      <c r="AL702" s="536"/>
      <c r="AN702" s="597"/>
    </row>
    <row r="703" spans="1:51" s="570" customFormat="1" ht="12.95" customHeight="1">
      <c r="A703" s="550"/>
      <c r="B703" s="536"/>
      <c r="C703" s="931"/>
      <c r="D703" s="536"/>
      <c r="E703" s="2494"/>
      <c r="F703" s="2494"/>
      <c r="G703" s="2494"/>
      <c r="H703" s="2494"/>
      <c r="I703" s="2494"/>
      <c r="J703" s="2494"/>
      <c r="K703" s="2494"/>
      <c r="L703" s="2494"/>
      <c r="M703" s="2494"/>
      <c r="N703" s="2494"/>
      <c r="O703" s="2494"/>
      <c r="P703" s="2494"/>
      <c r="Q703" s="2494"/>
      <c r="R703" s="2494"/>
      <c r="S703" s="2494"/>
      <c r="T703" s="2494"/>
      <c r="U703" s="2494"/>
      <c r="V703" s="2494"/>
      <c r="W703" s="2494"/>
      <c r="X703" s="2494"/>
      <c r="Y703" s="2494"/>
      <c r="Z703" s="2494"/>
      <c r="AA703" s="2494"/>
      <c r="AB703" s="2494"/>
      <c r="AC703" s="536"/>
      <c r="AD703" s="536"/>
      <c r="AE703" s="616"/>
      <c r="AF703" s="616"/>
      <c r="AG703" s="616"/>
      <c r="AH703" s="616"/>
      <c r="AI703" s="616"/>
      <c r="AJ703" s="536"/>
      <c r="AK703" s="536"/>
      <c r="AL703" s="536"/>
      <c r="AM703" s="550"/>
      <c r="AN703" s="684"/>
      <c r="AO703" s="550" t="s">
        <v>591</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687</v>
      </c>
      <c r="AP704" s="550">
        <v>3</v>
      </c>
    </row>
    <row r="705" spans="1:43" s="570" customFormat="1" ht="12.75" customHeight="1">
      <c r="A705" s="550"/>
      <c r="B705" s="536"/>
      <c r="C705" s="931"/>
      <c r="D705" s="536"/>
      <c r="E705" s="2494" t="s">
        <v>1692</v>
      </c>
      <c r="F705" s="2494"/>
      <c r="G705" s="2494"/>
      <c r="H705" s="2494"/>
      <c r="I705" s="2494"/>
      <c r="J705" s="2494"/>
      <c r="K705" s="2494"/>
      <c r="L705" s="2494"/>
      <c r="M705" s="2494"/>
      <c r="N705" s="2494"/>
      <c r="O705" s="2494"/>
      <c r="P705" s="2494"/>
      <c r="Q705" s="2494"/>
      <c r="R705" s="2494"/>
      <c r="S705" s="2494"/>
      <c r="T705" s="2494"/>
      <c r="U705" s="2494"/>
      <c r="V705" s="2494"/>
      <c r="W705" s="2494"/>
      <c r="X705" s="2494"/>
      <c r="Y705" s="2494"/>
      <c r="Z705" s="2494"/>
      <c r="AA705" s="2494"/>
      <c r="AB705" s="2494"/>
      <c r="AC705" s="536"/>
      <c r="AD705" s="536"/>
      <c r="AE705" s="616"/>
      <c r="AF705" s="616"/>
      <c r="AG705" s="616"/>
      <c r="AH705" s="616"/>
      <c r="AI705" s="616"/>
      <c r="AJ705" s="536"/>
      <c r="AK705" s="536"/>
      <c r="AL705" s="536"/>
      <c r="AM705" s="550"/>
      <c r="AN705" s="684"/>
      <c r="AO705" s="611" t="s">
        <v>509</v>
      </c>
      <c r="AP705" s="550">
        <f>3*$AO$695</f>
        <v>0</v>
      </c>
    </row>
    <row r="706" spans="1:43" s="570" customFormat="1" ht="12.75" customHeight="1">
      <c r="A706" s="550"/>
      <c r="B706" s="536"/>
      <c r="C706" s="931"/>
      <c r="D706" s="536"/>
      <c r="E706" s="2494"/>
      <c r="F706" s="2494"/>
      <c r="G706" s="2494"/>
      <c r="H706" s="2494"/>
      <c r="I706" s="2494"/>
      <c r="J706" s="2494"/>
      <c r="K706" s="2494"/>
      <c r="L706" s="2494"/>
      <c r="M706" s="2494"/>
      <c r="N706" s="2494"/>
      <c r="O706" s="2494"/>
      <c r="P706" s="2494"/>
      <c r="Q706" s="2494"/>
      <c r="R706" s="2494"/>
      <c r="S706" s="2494"/>
      <c r="T706" s="2494"/>
      <c r="U706" s="2494"/>
      <c r="V706" s="2494"/>
      <c r="W706" s="2494"/>
      <c r="X706" s="2494"/>
      <c r="Y706" s="2494"/>
      <c r="Z706" s="2494"/>
      <c r="AA706" s="2494"/>
      <c r="AB706" s="2494"/>
      <c r="AC706" s="536"/>
      <c r="AD706" s="536"/>
      <c r="AE706" s="616"/>
      <c r="AF706" s="616"/>
      <c r="AG706" s="616"/>
      <c r="AH706" s="616"/>
      <c r="AI706" s="616"/>
      <c r="AJ706" s="536"/>
      <c r="AK706" s="536"/>
      <c r="AL706" s="536"/>
      <c r="AM706" s="550"/>
      <c r="AN706" s="684"/>
      <c r="AO706" s="611" t="s">
        <v>277</v>
      </c>
      <c r="AP706" s="550">
        <f>2*$AO$695</f>
        <v>0</v>
      </c>
    </row>
    <row r="707" spans="1:43" s="570" customFormat="1" ht="12.75" customHeight="1">
      <c r="A707" s="550"/>
      <c r="B707" s="536"/>
      <c r="C707" s="931"/>
      <c r="D707" s="536"/>
      <c r="E707" s="2494"/>
      <c r="F707" s="2494"/>
      <c r="G707" s="2494"/>
      <c r="H707" s="2494"/>
      <c r="I707" s="2494"/>
      <c r="J707" s="2494"/>
      <c r="K707" s="2494"/>
      <c r="L707" s="2494"/>
      <c r="M707" s="2494"/>
      <c r="N707" s="2494"/>
      <c r="O707" s="2494"/>
      <c r="P707" s="2494"/>
      <c r="Q707" s="2494"/>
      <c r="R707" s="2494"/>
      <c r="S707" s="2494"/>
      <c r="T707" s="2494"/>
      <c r="U707" s="2494"/>
      <c r="V707" s="2494"/>
      <c r="W707" s="2494"/>
      <c r="X707" s="2494"/>
      <c r="Y707" s="2494"/>
      <c r="Z707" s="2494"/>
      <c r="AA707" s="2494"/>
      <c r="AB707" s="2494"/>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1399</v>
      </c>
      <c r="E709" s="936"/>
      <c r="F709" s="936"/>
      <c r="G709" s="936"/>
      <c r="H709" s="2523" t="s">
        <v>591</v>
      </c>
      <c r="I709" s="2523"/>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1426</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1404</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2136</v>
      </c>
      <c r="AJ711" s="2474">
        <f>VLOOKUP($H$709,$AO$703:$AP$706,2,FALSE)</f>
        <v>0</v>
      </c>
      <c r="AK711" s="2476"/>
      <c r="AL711" s="595"/>
      <c r="AM711" s="550"/>
      <c r="AN711" s="684"/>
      <c r="AP711" s="570" t="s">
        <v>1411</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1427</v>
      </c>
    </row>
    <row r="713" spans="1:43" s="570" customFormat="1" ht="12.75" customHeight="1">
      <c r="A713" s="550"/>
      <c r="B713" s="536"/>
      <c r="C713" s="539" t="s">
        <v>1428</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1429</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1430</v>
      </c>
    </row>
    <row r="715" spans="1:43" s="570" customFormat="1" ht="12.75" customHeight="1">
      <c r="A715" s="637"/>
      <c r="B715" s="536"/>
      <c r="C715" s="931"/>
      <c r="D715" s="663" t="s">
        <v>687</v>
      </c>
      <c r="E715" s="2531" t="s">
        <v>1694</v>
      </c>
      <c r="F715" s="2531"/>
      <c r="G715" s="2531"/>
      <c r="H715" s="2531"/>
      <c r="I715" s="2531"/>
      <c r="J715" s="2531"/>
      <c r="K715" s="2531"/>
      <c r="L715" s="2531"/>
      <c r="M715" s="2531"/>
      <c r="N715" s="2531"/>
      <c r="O715" s="2531"/>
      <c r="P715" s="2531"/>
      <c r="Q715" s="2531"/>
      <c r="R715" s="2531"/>
      <c r="S715" s="2531"/>
      <c r="T715" s="2531"/>
      <c r="U715" s="2531"/>
      <c r="V715" s="2531"/>
      <c r="W715" s="2531"/>
      <c r="X715" s="2531"/>
      <c r="Y715" s="2531"/>
      <c r="Z715" s="2531"/>
      <c r="AA715" s="2531"/>
      <c r="AB715" s="2531"/>
      <c r="AC715" s="536"/>
      <c r="AD715" s="536"/>
      <c r="AE715" s="536"/>
      <c r="AF715" s="2439" t="s">
        <v>1351</v>
      </c>
      <c r="AG715" s="2439"/>
      <c r="AH715" s="2439"/>
      <c r="AI715" s="2439"/>
      <c r="AJ715" s="2439"/>
      <c r="AK715" s="2439"/>
      <c r="AL715" s="2439"/>
      <c r="AM715" s="550"/>
      <c r="AN715" s="684"/>
      <c r="AP715" s="570" t="s">
        <v>1431</v>
      </c>
    </row>
    <row r="716" spans="1:43" s="570" customFormat="1" ht="11.85" customHeight="1">
      <c r="A716" s="550"/>
      <c r="B716" s="536"/>
      <c r="C716" s="933"/>
      <c r="D716" s="663"/>
      <c r="E716" s="2531"/>
      <c r="F716" s="2531"/>
      <c r="G716" s="2531"/>
      <c r="H716" s="2531"/>
      <c r="I716" s="2531"/>
      <c r="J716" s="2531"/>
      <c r="K716" s="2531"/>
      <c r="L716" s="2531"/>
      <c r="M716" s="2531"/>
      <c r="N716" s="2531"/>
      <c r="O716" s="2531"/>
      <c r="P716" s="2531"/>
      <c r="Q716" s="2531"/>
      <c r="R716" s="2531"/>
      <c r="S716" s="2531"/>
      <c r="T716" s="2531"/>
      <c r="U716" s="2531"/>
      <c r="V716" s="2531"/>
      <c r="W716" s="2531"/>
      <c r="X716" s="2531"/>
      <c r="Y716" s="2531"/>
      <c r="Z716" s="2531"/>
      <c r="AA716" s="2531"/>
      <c r="AB716" s="2531"/>
      <c r="AC716" s="536"/>
      <c r="AD716" s="536"/>
      <c r="AE716" s="536"/>
      <c r="AF716" s="536"/>
      <c r="AG716" s="536"/>
      <c r="AH716" s="536"/>
      <c r="AI716" s="536"/>
      <c r="AJ716" s="536"/>
      <c r="AK716" s="536"/>
      <c r="AL716" s="536"/>
      <c r="AM716" s="550"/>
      <c r="AN716" s="684"/>
      <c r="AP716" s="570" t="s">
        <v>1432</v>
      </c>
    </row>
    <row r="717" spans="1:43" s="570" customFormat="1" ht="13.9" customHeight="1">
      <c r="A717" s="550"/>
      <c r="B717" s="610"/>
      <c r="C717" s="931"/>
      <c r="D717" s="663"/>
      <c r="E717" s="2531"/>
      <c r="F717" s="2531"/>
      <c r="G717" s="2531"/>
      <c r="H717" s="2531"/>
      <c r="I717" s="2531"/>
      <c r="J717" s="2531"/>
      <c r="K717" s="2531"/>
      <c r="L717" s="2531"/>
      <c r="M717" s="2531"/>
      <c r="N717" s="2531"/>
      <c r="O717" s="2531"/>
      <c r="P717" s="2531"/>
      <c r="Q717" s="2531"/>
      <c r="R717" s="2531"/>
      <c r="S717" s="2531"/>
      <c r="T717" s="2531"/>
      <c r="U717" s="2531"/>
      <c r="V717" s="2531"/>
      <c r="W717" s="2531"/>
      <c r="X717" s="2531"/>
      <c r="Y717" s="2531"/>
      <c r="Z717" s="2531"/>
      <c r="AA717" s="2531"/>
      <c r="AB717" s="2531"/>
      <c r="AC717" s="536"/>
      <c r="AD717" s="536"/>
      <c r="AE717" s="616"/>
      <c r="AF717" s="536"/>
      <c r="AG717" s="536"/>
      <c r="AH717" s="536"/>
      <c r="AI717" s="536"/>
      <c r="AJ717" s="536"/>
      <c r="AK717" s="536"/>
      <c r="AL717" s="536"/>
      <c r="AM717" s="550"/>
      <c r="AN717" s="684"/>
      <c r="AP717" s="570" t="s">
        <v>1433</v>
      </c>
    </row>
    <row r="718" spans="1:43" s="570" customFormat="1" ht="13.9"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1435</v>
      </c>
    </row>
    <row r="719" spans="1:43" s="570" customFormat="1" ht="13.9" customHeight="1">
      <c r="A719" s="550"/>
      <c r="B719" s="536"/>
      <c r="C719" s="931"/>
      <c r="D719" s="663" t="s">
        <v>509</v>
      </c>
      <c r="E719" s="2532" t="s">
        <v>1434</v>
      </c>
      <c r="F719" s="2532"/>
      <c r="G719" s="2532"/>
      <c r="H719" s="2532"/>
      <c r="I719" s="2532"/>
      <c r="J719" s="2532"/>
      <c r="K719" s="2532"/>
      <c r="L719" s="2532"/>
      <c r="M719" s="2532"/>
      <c r="N719" s="2532"/>
      <c r="O719" s="2532"/>
      <c r="P719" s="2532"/>
      <c r="Q719" s="2532"/>
      <c r="R719" s="2532"/>
      <c r="S719" s="2532"/>
      <c r="T719" s="2532"/>
      <c r="U719" s="2532"/>
      <c r="V719" s="2532"/>
      <c r="W719" s="2532"/>
      <c r="X719" s="2532"/>
      <c r="Y719" s="2532"/>
      <c r="Z719" s="2532"/>
      <c r="AA719" s="2532"/>
      <c r="AB719" s="2532"/>
      <c r="AC719" s="536"/>
      <c r="AD719" s="536"/>
      <c r="AE719" s="536"/>
      <c r="AF719" s="2439" t="s">
        <v>1407</v>
      </c>
      <c r="AG719" s="2439"/>
      <c r="AH719" s="2439"/>
      <c r="AI719" s="2439"/>
      <c r="AJ719" s="2439"/>
      <c r="AK719" s="2439"/>
      <c r="AL719" s="2439"/>
      <c r="AM719" s="550"/>
      <c r="AN719" s="685"/>
    </row>
    <row r="720" spans="1:43" s="570" customFormat="1" ht="12.75" customHeight="1">
      <c r="A720" s="550"/>
      <c r="B720" s="536"/>
      <c r="C720" s="933"/>
      <c r="D720" s="536"/>
      <c r="E720" s="2532"/>
      <c r="F720" s="2532"/>
      <c r="G720" s="2532"/>
      <c r="H720" s="2532"/>
      <c r="I720" s="2532"/>
      <c r="J720" s="2532"/>
      <c r="K720" s="2532"/>
      <c r="L720" s="2532"/>
      <c r="M720" s="2532"/>
      <c r="N720" s="2532"/>
      <c r="O720" s="2532"/>
      <c r="P720" s="2532"/>
      <c r="Q720" s="2532"/>
      <c r="R720" s="2532"/>
      <c r="S720" s="2532"/>
      <c r="T720" s="2532"/>
      <c r="U720" s="2532"/>
      <c r="V720" s="2532"/>
      <c r="W720" s="2532"/>
      <c r="X720" s="2532"/>
      <c r="Y720" s="2532"/>
      <c r="Z720" s="2532"/>
      <c r="AA720" s="2532"/>
      <c r="AB720" s="2532"/>
      <c r="AC720" s="536"/>
      <c r="AD720" s="536"/>
      <c r="AE720" s="536"/>
      <c r="AF720" s="536"/>
      <c r="AG720" s="536"/>
      <c r="AH720" s="536"/>
      <c r="AI720" s="536"/>
      <c r="AJ720" s="536"/>
      <c r="AK720" s="536"/>
      <c r="AL720" s="536"/>
      <c r="AM720" s="550"/>
      <c r="AN720" s="684"/>
      <c r="AP720" s="550" t="s">
        <v>591</v>
      </c>
      <c r="AQ720" s="673">
        <v>0</v>
      </c>
    </row>
    <row r="721" spans="1:81" s="570" customFormat="1" ht="13.9" customHeight="1">
      <c r="A721" s="550"/>
      <c r="B721" s="536"/>
      <c r="C721" s="933"/>
      <c r="D721" s="536"/>
      <c r="E721" s="2532"/>
      <c r="F721" s="2532"/>
      <c r="G721" s="2532"/>
      <c r="H721" s="2532"/>
      <c r="I721" s="2532"/>
      <c r="J721" s="2532"/>
      <c r="K721" s="2532"/>
      <c r="L721" s="2532"/>
      <c r="M721" s="2532"/>
      <c r="N721" s="2532"/>
      <c r="O721" s="2532"/>
      <c r="P721" s="2532"/>
      <c r="Q721" s="2532"/>
      <c r="R721" s="2532"/>
      <c r="S721" s="2532"/>
      <c r="T721" s="2532"/>
      <c r="U721" s="2532"/>
      <c r="V721" s="2532"/>
      <c r="W721" s="2532"/>
      <c r="X721" s="2532"/>
      <c r="Y721" s="2532"/>
      <c r="Z721" s="2532"/>
      <c r="AA721" s="2532"/>
      <c r="AB721" s="2532"/>
      <c r="AC721" s="536"/>
      <c r="AD721" s="536"/>
      <c r="AE721" s="536"/>
      <c r="AF721" s="536"/>
      <c r="AG721" s="536"/>
      <c r="AH721" s="536"/>
      <c r="AI721" s="536"/>
      <c r="AJ721" s="536"/>
      <c r="AK721" s="536"/>
      <c r="AL721" s="536"/>
      <c r="AM721" s="550"/>
      <c r="AN721" s="684"/>
      <c r="AP721" s="611" t="s">
        <v>687</v>
      </c>
      <c r="AQ721" s="550">
        <v>3</v>
      </c>
    </row>
    <row r="722" spans="1:81" s="570" customFormat="1" ht="13.9"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509</v>
      </c>
      <c r="AQ722" s="550">
        <v>2</v>
      </c>
    </row>
    <row r="723" spans="1:81" s="570" customFormat="1" ht="13.9" customHeight="1">
      <c r="A723" s="550"/>
      <c r="B723" s="536"/>
      <c r="C723" s="933"/>
      <c r="D723" s="536" t="s">
        <v>1399</v>
      </c>
      <c r="E723" s="936"/>
      <c r="F723" s="936"/>
      <c r="G723" s="936"/>
      <c r="H723" s="2523" t="s">
        <v>591</v>
      </c>
      <c r="I723" s="2523"/>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1436</v>
      </c>
      <c r="AJ725" s="2474">
        <f>VLOOKUP($H$723,$AP$720:$AQ$722,2,FALSE)</f>
        <v>0</v>
      </c>
      <c r="AK725" s="2476"/>
      <c r="AL725" s="595"/>
      <c r="AM725" s="550"/>
      <c r="AN725" s="684"/>
      <c r="AP725" s="2474"/>
      <c r="AQ725" s="2476"/>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1437</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687</v>
      </c>
      <c r="E729" s="2494" t="s">
        <v>1695</v>
      </c>
      <c r="F729" s="2494"/>
      <c r="G729" s="2494"/>
      <c r="H729" s="2494"/>
      <c r="I729" s="2494"/>
      <c r="J729" s="2494"/>
      <c r="K729" s="2494"/>
      <c r="L729" s="2494"/>
      <c r="M729" s="2494"/>
      <c r="N729" s="2494"/>
      <c r="O729" s="2494"/>
      <c r="P729" s="2494"/>
      <c r="Q729" s="2494"/>
      <c r="R729" s="2494"/>
      <c r="S729" s="2494"/>
      <c r="T729" s="2494"/>
      <c r="U729" s="2494"/>
      <c r="V729" s="2494"/>
      <c r="W729" s="2494"/>
      <c r="X729" s="2494"/>
      <c r="Y729" s="2494"/>
      <c r="Z729" s="2494"/>
      <c r="AA729" s="2494"/>
      <c r="AB729" s="2494"/>
      <c r="AC729" s="536"/>
      <c r="AD729" s="536"/>
      <c r="AE729" s="536"/>
      <c r="AF729" s="2439" t="s">
        <v>1351</v>
      </c>
      <c r="AG729" s="2439"/>
      <c r="AH729" s="2439"/>
      <c r="AI729" s="2439"/>
      <c r="AJ729" s="2439"/>
      <c r="AK729" s="2439"/>
      <c r="AL729" s="2439"/>
      <c r="AM729" s="550"/>
      <c r="AN729" s="684"/>
      <c r="AT729" s="14"/>
      <c r="AU729" s="14"/>
      <c r="AV729" s="14"/>
      <c r="AW729" s="14"/>
      <c r="AX729" s="14"/>
      <c r="AY729" s="14"/>
      <c r="AZ729" s="14"/>
    </row>
    <row r="730" spans="1:81" s="570" customFormat="1">
      <c r="A730" s="550"/>
      <c r="B730" s="536"/>
      <c r="C730" s="933"/>
      <c r="D730" s="663"/>
      <c r="E730" s="2494"/>
      <c r="F730" s="2494"/>
      <c r="G730" s="2494"/>
      <c r="H730" s="2494"/>
      <c r="I730" s="2494"/>
      <c r="J730" s="2494"/>
      <c r="K730" s="2494"/>
      <c r="L730" s="2494"/>
      <c r="M730" s="2494"/>
      <c r="N730" s="2494"/>
      <c r="O730" s="2494"/>
      <c r="P730" s="2494"/>
      <c r="Q730" s="2494"/>
      <c r="R730" s="2494"/>
      <c r="S730" s="2494"/>
      <c r="T730" s="2494"/>
      <c r="U730" s="2494"/>
      <c r="V730" s="2494"/>
      <c r="W730" s="2494"/>
      <c r="X730" s="2494"/>
      <c r="Y730" s="2494"/>
      <c r="Z730" s="2494"/>
      <c r="AA730" s="2494"/>
      <c r="AB730" s="2494"/>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509</v>
      </c>
      <c r="E732" s="2494" t="s">
        <v>1438</v>
      </c>
      <c r="F732" s="2494"/>
      <c r="G732" s="2494"/>
      <c r="H732" s="2494"/>
      <c r="I732" s="2494"/>
      <c r="J732" s="2494"/>
      <c r="K732" s="2494"/>
      <c r="L732" s="2494"/>
      <c r="M732" s="2494"/>
      <c r="N732" s="2494"/>
      <c r="O732" s="2494"/>
      <c r="P732" s="2494"/>
      <c r="Q732" s="2494"/>
      <c r="R732" s="2494"/>
      <c r="S732" s="2494"/>
      <c r="T732" s="2494"/>
      <c r="U732" s="2494"/>
      <c r="V732" s="2494"/>
      <c r="W732" s="2494"/>
      <c r="X732" s="2494"/>
      <c r="Y732" s="2494"/>
      <c r="Z732" s="2494"/>
      <c r="AA732" s="2494"/>
      <c r="AB732" s="2494"/>
      <c r="AC732" s="536"/>
      <c r="AD732" s="536"/>
      <c r="AE732" s="536"/>
      <c r="AF732" s="2439" t="s">
        <v>1407</v>
      </c>
      <c r="AG732" s="2439"/>
      <c r="AH732" s="2439"/>
      <c r="AI732" s="2439"/>
      <c r="AJ732" s="2439"/>
      <c r="AK732" s="2439"/>
      <c r="AL732" s="2439"/>
      <c r="AM732" s="550"/>
      <c r="AN732" s="684"/>
      <c r="AT732" s="14"/>
      <c r="AU732" s="14"/>
      <c r="AV732" s="14"/>
      <c r="AW732" s="14"/>
      <c r="AX732" s="14"/>
      <c r="AY732" s="14"/>
      <c r="AZ732" s="14"/>
    </row>
    <row r="733" spans="1:81" s="570" customFormat="1">
      <c r="A733" s="550"/>
      <c r="B733" s="536"/>
      <c r="C733" s="933"/>
      <c r="D733" s="536"/>
      <c r="E733" s="2494"/>
      <c r="F733" s="2494"/>
      <c r="G733" s="2494"/>
      <c r="H733" s="2494"/>
      <c r="I733" s="2494"/>
      <c r="J733" s="2494"/>
      <c r="K733" s="2494"/>
      <c r="L733" s="2494"/>
      <c r="M733" s="2494"/>
      <c r="N733" s="2494"/>
      <c r="O733" s="2494"/>
      <c r="P733" s="2494"/>
      <c r="Q733" s="2494"/>
      <c r="R733" s="2494"/>
      <c r="S733" s="2494"/>
      <c r="T733" s="2494"/>
      <c r="U733" s="2494"/>
      <c r="V733" s="2494"/>
      <c r="W733" s="2494"/>
      <c r="X733" s="2494"/>
      <c r="Y733" s="2494"/>
      <c r="Z733" s="2494"/>
      <c r="AA733" s="2494"/>
      <c r="AB733" s="2494"/>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1399</v>
      </c>
      <c r="E735" s="936"/>
      <c r="F735" s="936"/>
      <c r="G735" s="936"/>
      <c r="H735" s="2523" t="s">
        <v>591</v>
      </c>
      <c r="I735" s="2523"/>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1439</v>
      </c>
      <c r="AJ737" s="2474">
        <f>VLOOKUP($H$735,$AO$666:$AP$668,2,FALSE)</f>
        <v>0</v>
      </c>
      <c r="AK737" s="2476"/>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1440</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687</v>
      </c>
      <c r="E741" s="2494" t="s">
        <v>1441</v>
      </c>
      <c r="F741" s="2494"/>
      <c r="G741" s="2494"/>
      <c r="H741" s="2494"/>
      <c r="I741" s="2494"/>
      <c r="J741" s="2494"/>
      <c r="K741" s="2494"/>
      <c r="L741" s="2494"/>
      <c r="M741" s="2494"/>
      <c r="N741" s="2494"/>
      <c r="O741" s="2494"/>
      <c r="P741" s="2494"/>
      <c r="Q741" s="2494"/>
      <c r="R741" s="2494"/>
      <c r="S741" s="2494"/>
      <c r="T741" s="2494"/>
      <c r="U741" s="2494"/>
      <c r="V741" s="2494"/>
      <c r="W741" s="2494"/>
      <c r="X741" s="2494"/>
      <c r="Y741" s="2494"/>
      <c r="Z741" s="2494"/>
      <c r="AA741" s="2494"/>
      <c r="AB741" s="2494"/>
      <c r="AC741" s="536"/>
      <c r="AD741" s="536"/>
      <c r="AE741" s="536"/>
      <c r="AF741" s="2439" t="s">
        <v>1351</v>
      </c>
      <c r="AG741" s="2439"/>
      <c r="AH741" s="2439"/>
      <c r="AI741" s="2439"/>
      <c r="AJ741" s="2439"/>
      <c r="AK741" s="2439"/>
      <c r="AL741" s="2439"/>
      <c r="AM741" s="550"/>
      <c r="AN741" s="684"/>
      <c r="AT741" s="14"/>
      <c r="AU741" s="14"/>
      <c r="AV741" s="14"/>
      <c r="AW741" s="14"/>
      <c r="AX741" s="14"/>
      <c r="AY741" s="14"/>
      <c r="AZ741" s="14"/>
    </row>
    <row r="742" spans="1:81" s="570" customFormat="1">
      <c r="A742" s="550"/>
      <c r="B742" s="536"/>
      <c r="C742" s="931"/>
      <c r="D742" s="663"/>
      <c r="E742" s="2494"/>
      <c r="F742" s="2494"/>
      <c r="G742" s="2494"/>
      <c r="H742" s="2494"/>
      <c r="I742" s="2494"/>
      <c r="J742" s="2494"/>
      <c r="K742" s="2494"/>
      <c r="L742" s="2494"/>
      <c r="M742" s="2494"/>
      <c r="N742" s="2494"/>
      <c r="O742" s="2494"/>
      <c r="P742" s="2494"/>
      <c r="Q742" s="2494"/>
      <c r="R742" s="2494"/>
      <c r="S742" s="2494"/>
      <c r="T742" s="2494"/>
      <c r="U742" s="2494"/>
      <c r="V742" s="2494"/>
      <c r="W742" s="2494"/>
      <c r="X742" s="2494"/>
      <c r="Y742" s="2494"/>
      <c r="Z742" s="2494"/>
      <c r="AA742" s="2494"/>
      <c r="AB742" s="2494"/>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494"/>
      <c r="F743" s="2494"/>
      <c r="G743" s="2494"/>
      <c r="H743" s="2494"/>
      <c r="I743" s="2494"/>
      <c r="J743" s="2494"/>
      <c r="K743" s="2494"/>
      <c r="L743" s="2494"/>
      <c r="M743" s="2494"/>
      <c r="N743" s="2494"/>
      <c r="O743" s="2494"/>
      <c r="P743" s="2494"/>
      <c r="Q743" s="2494"/>
      <c r="R743" s="2494"/>
      <c r="S743" s="2494"/>
      <c r="T743" s="2494"/>
      <c r="U743" s="2494"/>
      <c r="V743" s="2494"/>
      <c r="W743" s="2494"/>
      <c r="X743" s="2494"/>
      <c r="Y743" s="2494"/>
      <c r="Z743" s="2494"/>
      <c r="AA743" s="2494"/>
      <c r="AB743" s="2494"/>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494"/>
      <c r="F744" s="2494"/>
      <c r="G744" s="2494"/>
      <c r="H744" s="2494"/>
      <c r="I744" s="2494"/>
      <c r="J744" s="2494"/>
      <c r="K744" s="2494"/>
      <c r="L744" s="2494"/>
      <c r="M744" s="2494"/>
      <c r="N744" s="2494"/>
      <c r="O744" s="2494"/>
      <c r="P744" s="2494"/>
      <c r="Q744" s="2494"/>
      <c r="R744" s="2494"/>
      <c r="S744" s="2494"/>
      <c r="T744" s="2494"/>
      <c r="U744" s="2494"/>
      <c r="V744" s="2494"/>
      <c r="W744" s="2494"/>
      <c r="X744" s="2494"/>
      <c r="Y744" s="2494"/>
      <c r="Z744" s="2494"/>
      <c r="AA744" s="2494"/>
      <c r="AB744" s="2494"/>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509</v>
      </c>
      <c r="E746" s="2494" t="s">
        <v>1442</v>
      </c>
      <c r="F746" s="2494"/>
      <c r="G746" s="2494"/>
      <c r="H746" s="2494"/>
      <c r="I746" s="2494"/>
      <c r="J746" s="2494"/>
      <c r="K746" s="2494"/>
      <c r="L746" s="2494"/>
      <c r="M746" s="2494"/>
      <c r="N746" s="2494"/>
      <c r="O746" s="2494"/>
      <c r="P746" s="2494"/>
      <c r="Q746" s="2494"/>
      <c r="R746" s="2494"/>
      <c r="S746" s="2494"/>
      <c r="T746" s="2494"/>
      <c r="U746" s="2494"/>
      <c r="V746" s="2494"/>
      <c r="W746" s="2494"/>
      <c r="X746" s="2494"/>
      <c r="Y746" s="2494"/>
      <c r="Z746" s="2494"/>
      <c r="AA746" s="2494"/>
      <c r="AB746" s="575"/>
      <c r="AC746" s="536"/>
      <c r="AD746" s="536"/>
      <c r="AE746" s="536"/>
      <c r="AF746" s="2439" t="s">
        <v>1407</v>
      </c>
      <c r="AG746" s="2439"/>
      <c r="AH746" s="2439"/>
      <c r="AI746" s="2439"/>
      <c r="AJ746" s="2439"/>
      <c r="AK746" s="2439"/>
      <c r="AL746" s="2439"/>
      <c r="AM746" s="550"/>
      <c r="AN746" s="684"/>
      <c r="AO746" s="30"/>
      <c r="AP746" s="14"/>
    </row>
    <row r="747" spans="1:81" s="570" customFormat="1">
      <c r="A747" s="550"/>
      <c r="B747" s="536"/>
      <c r="C747" s="931"/>
      <c r="D747" s="663"/>
      <c r="E747" s="2494"/>
      <c r="F747" s="2494"/>
      <c r="G747" s="2494"/>
      <c r="H747" s="2494"/>
      <c r="I747" s="2494"/>
      <c r="J747" s="2494"/>
      <c r="K747" s="2494"/>
      <c r="L747" s="2494"/>
      <c r="M747" s="2494"/>
      <c r="N747" s="2494"/>
      <c r="O747" s="2494"/>
      <c r="P747" s="2494"/>
      <c r="Q747" s="2494"/>
      <c r="R747" s="2494"/>
      <c r="S747" s="2494"/>
      <c r="T747" s="2494"/>
      <c r="U747" s="2494"/>
      <c r="V747" s="2494"/>
      <c r="W747" s="2494"/>
      <c r="X747" s="2494"/>
      <c r="Y747" s="2494"/>
      <c r="Z747" s="2494"/>
      <c r="AA747" s="2494"/>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494"/>
      <c r="F748" s="2494"/>
      <c r="G748" s="2494"/>
      <c r="H748" s="2494"/>
      <c r="I748" s="2494"/>
      <c r="J748" s="2494"/>
      <c r="K748" s="2494"/>
      <c r="L748" s="2494"/>
      <c r="M748" s="2494"/>
      <c r="N748" s="2494"/>
      <c r="O748" s="2494"/>
      <c r="P748" s="2494"/>
      <c r="Q748" s="2494"/>
      <c r="R748" s="2494"/>
      <c r="S748" s="2494"/>
      <c r="T748" s="2494"/>
      <c r="U748" s="2494"/>
      <c r="V748" s="2494"/>
      <c r="W748" s="2494"/>
      <c r="X748" s="2494"/>
      <c r="Y748" s="2494"/>
      <c r="Z748" s="2494"/>
      <c r="AA748" s="2494"/>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494"/>
      <c r="F749" s="2494"/>
      <c r="G749" s="2494"/>
      <c r="H749" s="2494"/>
      <c r="I749" s="2494"/>
      <c r="J749" s="2494"/>
      <c r="K749" s="2494"/>
      <c r="L749" s="2494"/>
      <c r="M749" s="2494"/>
      <c r="N749" s="2494"/>
      <c r="O749" s="2494"/>
      <c r="P749" s="2494"/>
      <c r="Q749" s="2494"/>
      <c r="R749" s="2494"/>
      <c r="S749" s="2494"/>
      <c r="T749" s="2494"/>
      <c r="U749" s="2494"/>
      <c r="V749" s="2494"/>
      <c r="W749" s="2494"/>
      <c r="X749" s="2494"/>
      <c r="Y749" s="2494"/>
      <c r="Z749" s="2494"/>
      <c r="AA749" s="2494"/>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1399</v>
      </c>
      <c r="E751" s="936"/>
      <c r="F751" s="936"/>
      <c r="G751" s="936"/>
      <c r="H751" s="2523" t="s">
        <v>687</v>
      </c>
      <c r="I751" s="2523"/>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1443</v>
      </c>
      <c r="AJ753" s="2474">
        <f>VLOOKUP($H$751,$AO$680:$AP$682,2,FALSE)</f>
        <v>3</v>
      </c>
      <c r="AK753" s="2476"/>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1433</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687</v>
      </c>
      <c r="E757" s="2494" t="s">
        <v>1444</v>
      </c>
      <c r="F757" s="2494"/>
      <c r="G757" s="2494"/>
      <c r="H757" s="2494"/>
      <c r="I757" s="2494"/>
      <c r="J757" s="2494"/>
      <c r="K757" s="2494"/>
      <c r="L757" s="2494"/>
      <c r="M757" s="2494"/>
      <c r="N757" s="2494"/>
      <c r="O757" s="2494"/>
      <c r="P757" s="2494"/>
      <c r="Q757" s="2494"/>
      <c r="R757" s="2494"/>
      <c r="S757" s="2494"/>
      <c r="T757" s="2494"/>
      <c r="U757" s="2494"/>
      <c r="V757" s="2494"/>
      <c r="W757" s="2494"/>
      <c r="X757" s="2494"/>
      <c r="Y757" s="2494"/>
      <c r="Z757" s="2494"/>
      <c r="AA757" s="2494"/>
      <c r="AB757" s="2494"/>
      <c r="AC757" s="536"/>
      <c r="AD757" s="536"/>
      <c r="AE757" s="536"/>
      <c r="AF757" s="2439" t="s">
        <v>1407</v>
      </c>
      <c r="AG757" s="2439"/>
      <c r="AH757" s="2439"/>
      <c r="AI757" s="2439"/>
      <c r="AJ757" s="2439"/>
      <c r="AK757" s="2439"/>
      <c r="AL757" s="2439"/>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494"/>
      <c r="F758" s="2494"/>
      <c r="G758" s="2494"/>
      <c r="H758" s="2494"/>
      <c r="I758" s="2494"/>
      <c r="J758" s="2494"/>
      <c r="K758" s="2494"/>
      <c r="L758" s="2494"/>
      <c r="M758" s="2494"/>
      <c r="N758" s="2494"/>
      <c r="O758" s="2494"/>
      <c r="P758" s="2494"/>
      <c r="Q758" s="2494"/>
      <c r="R758" s="2494"/>
      <c r="S758" s="2494"/>
      <c r="T758" s="2494"/>
      <c r="U758" s="2494"/>
      <c r="V758" s="2494"/>
      <c r="W758" s="2494"/>
      <c r="X758" s="2494"/>
      <c r="Y758" s="2494"/>
      <c r="Z758" s="2494"/>
      <c r="AA758" s="2494"/>
      <c r="AB758" s="2494"/>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509</v>
      </c>
      <c r="E760" s="2494" t="s">
        <v>1445</v>
      </c>
      <c r="F760" s="2494"/>
      <c r="G760" s="2494"/>
      <c r="H760" s="2494"/>
      <c r="I760" s="2494"/>
      <c r="J760" s="2494"/>
      <c r="K760" s="2494"/>
      <c r="L760" s="2494"/>
      <c r="M760" s="2494"/>
      <c r="N760" s="2494"/>
      <c r="O760" s="2494"/>
      <c r="P760" s="2494"/>
      <c r="Q760" s="2494"/>
      <c r="R760" s="2494"/>
      <c r="S760" s="2494"/>
      <c r="T760" s="2494"/>
      <c r="U760" s="2494"/>
      <c r="V760" s="2494"/>
      <c r="W760" s="2494"/>
      <c r="X760" s="2494"/>
      <c r="Y760" s="2494"/>
      <c r="Z760" s="2494"/>
      <c r="AA760" s="2494"/>
      <c r="AB760" s="2494"/>
      <c r="AC760" s="536"/>
      <c r="AD760" s="536"/>
      <c r="AE760" s="536"/>
      <c r="AF760" s="2439" t="s">
        <v>1424</v>
      </c>
      <c r="AG760" s="2439"/>
      <c r="AH760" s="2439"/>
      <c r="AI760" s="2439"/>
      <c r="AJ760" s="2439"/>
      <c r="AK760" s="2439"/>
      <c r="AL760" s="2439"/>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494"/>
      <c r="F761" s="2494"/>
      <c r="G761" s="2494"/>
      <c r="H761" s="2494"/>
      <c r="I761" s="2494"/>
      <c r="J761" s="2494"/>
      <c r="K761" s="2494"/>
      <c r="L761" s="2494"/>
      <c r="M761" s="2494"/>
      <c r="N761" s="2494"/>
      <c r="O761" s="2494"/>
      <c r="P761" s="2494"/>
      <c r="Q761" s="2494"/>
      <c r="R761" s="2494"/>
      <c r="S761" s="2494"/>
      <c r="T761" s="2494"/>
      <c r="U761" s="2494"/>
      <c r="V761" s="2494"/>
      <c r="W761" s="2494"/>
      <c r="X761" s="2494"/>
      <c r="Y761" s="2494"/>
      <c r="Z761" s="2494"/>
      <c r="AA761" s="2494"/>
      <c r="AB761" s="2494"/>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1399</v>
      </c>
      <c r="E763" s="936"/>
      <c r="F763" s="936"/>
      <c r="G763" s="936"/>
      <c r="H763" s="2523" t="s">
        <v>687</v>
      </c>
      <c r="I763" s="2523"/>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3.9"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1446</v>
      </c>
      <c r="AJ765" s="2474">
        <f>VLOOKUP($H$763,$AO$697:$AP$699,2,FALSE)</f>
        <v>2</v>
      </c>
      <c r="AK765" s="2476"/>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1435</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 customHeight="1">
      <c r="A769" s="550"/>
      <c r="B769" s="616"/>
      <c r="C769" s="940"/>
      <c r="D769" s="663" t="s">
        <v>687</v>
      </c>
      <c r="E769" s="2494" t="s">
        <v>1691</v>
      </c>
      <c r="F769" s="2494"/>
      <c r="G769" s="2494"/>
      <c r="H769" s="2494"/>
      <c r="I769" s="2494"/>
      <c r="J769" s="2494"/>
      <c r="K769" s="2494"/>
      <c r="L769" s="2494"/>
      <c r="M769" s="2494"/>
      <c r="N769" s="2494"/>
      <c r="O769" s="2494"/>
      <c r="P769" s="2494"/>
      <c r="Q769" s="2494"/>
      <c r="R769" s="2494"/>
      <c r="S769" s="2494"/>
      <c r="T769" s="2494"/>
      <c r="U769" s="2494"/>
      <c r="V769" s="2494"/>
      <c r="W769" s="2494"/>
      <c r="X769" s="2494"/>
      <c r="Y769" s="2494"/>
      <c r="Z769" s="2494"/>
      <c r="AA769" s="2494"/>
      <c r="AB769" s="2494"/>
      <c r="AC769" s="2494"/>
      <c r="AD769" s="2494"/>
      <c r="AE769" s="536"/>
      <c r="AF769" s="2439" t="s">
        <v>1407</v>
      </c>
      <c r="AG769" s="2439"/>
      <c r="AH769" s="2439"/>
      <c r="AI769" s="2439"/>
      <c r="AJ769" s="2439"/>
      <c r="AK769" s="2439"/>
      <c r="AL769" s="2439"/>
      <c r="AM769" s="613"/>
      <c r="AN769" s="684"/>
      <c r="AO769" s="550" t="s">
        <v>591</v>
      </c>
      <c r="AP769" s="673">
        <v>0</v>
      </c>
    </row>
    <row r="770" spans="1:81" s="570" customFormat="1" ht="13.7" customHeight="1">
      <c r="A770" s="550"/>
      <c r="B770" s="616"/>
      <c r="C770" s="940"/>
      <c r="D770" s="663"/>
      <c r="E770" s="2494"/>
      <c r="F770" s="2494"/>
      <c r="G770" s="2494"/>
      <c r="H770" s="2494"/>
      <c r="I770" s="2494"/>
      <c r="J770" s="2494"/>
      <c r="K770" s="2494"/>
      <c r="L770" s="2494"/>
      <c r="M770" s="2494"/>
      <c r="N770" s="2494"/>
      <c r="O770" s="2494"/>
      <c r="P770" s="2494"/>
      <c r="Q770" s="2494"/>
      <c r="R770" s="2494"/>
      <c r="S770" s="2494"/>
      <c r="T770" s="2494"/>
      <c r="U770" s="2494"/>
      <c r="V770" s="2494"/>
      <c r="W770" s="2494"/>
      <c r="X770" s="2494"/>
      <c r="Y770" s="2494"/>
      <c r="Z770" s="2494"/>
      <c r="AA770" s="2494"/>
      <c r="AB770" s="2494"/>
      <c r="AC770" s="2494"/>
      <c r="AD770" s="2494"/>
      <c r="AE770" s="536"/>
      <c r="AF770" s="594"/>
      <c r="AG770" s="594"/>
      <c r="AH770" s="594"/>
      <c r="AI770" s="594"/>
      <c r="AJ770" s="594"/>
      <c r="AK770" s="594"/>
      <c r="AL770" s="594"/>
      <c r="AM770" s="613"/>
      <c r="AN770" s="684"/>
      <c r="AO770" s="611" t="s">
        <v>687</v>
      </c>
      <c r="AP770" s="550">
        <v>2</v>
      </c>
    </row>
    <row r="771" spans="1:81" s="570" customFormat="1">
      <c r="A771" s="550"/>
      <c r="B771" s="616"/>
      <c r="C771" s="940"/>
      <c r="D771" s="663"/>
      <c r="E771" s="2494"/>
      <c r="F771" s="2494"/>
      <c r="G771" s="2494"/>
      <c r="H771" s="2494"/>
      <c r="I771" s="2494"/>
      <c r="J771" s="2494"/>
      <c r="K771" s="2494"/>
      <c r="L771" s="2494"/>
      <c r="M771" s="2494"/>
      <c r="N771" s="2494"/>
      <c r="O771" s="2494"/>
      <c r="P771" s="2494"/>
      <c r="Q771" s="2494"/>
      <c r="R771" s="2494"/>
      <c r="S771" s="2494"/>
      <c r="T771" s="2494"/>
      <c r="U771" s="2494"/>
      <c r="V771" s="2494"/>
      <c r="W771" s="2494"/>
      <c r="X771" s="2494"/>
      <c r="Y771" s="2494"/>
      <c r="Z771" s="2494"/>
      <c r="AA771" s="2494"/>
      <c r="AB771" s="2494"/>
      <c r="AC771" s="2494"/>
      <c r="AD771" s="2494"/>
      <c r="AE771" s="536"/>
      <c r="AF771" s="536"/>
      <c r="AG771" s="536"/>
      <c r="AH771" s="536"/>
      <c r="AI771" s="536"/>
      <c r="AJ771" s="536"/>
      <c r="AK771" s="536"/>
      <c r="AL771" s="594"/>
      <c r="AM771" s="613"/>
      <c r="AN771" s="534"/>
      <c r="AO771" s="611" t="s">
        <v>509</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00000000000001" customHeight="1">
      <c r="A772" s="550"/>
      <c r="B772" s="616"/>
      <c r="C772" s="940"/>
      <c r="D772" s="663"/>
      <c r="E772" s="2494"/>
      <c r="F772" s="2494"/>
      <c r="G772" s="2494"/>
      <c r="H772" s="2494"/>
      <c r="I772" s="2494"/>
      <c r="J772" s="2494"/>
      <c r="K772" s="2494"/>
      <c r="L772" s="2494"/>
      <c r="M772" s="2494"/>
      <c r="N772" s="2494"/>
      <c r="O772" s="2494"/>
      <c r="P772" s="2494"/>
      <c r="Q772" s="2494"/>
      <c r="R772" s="2494"/>
      <c r="S772" s="2494"/>
      <c r="T772" s="2494"/>
      <c r="U772" s="2494"/>
      <c r="V772" s="2494"/>
      <c r="W772" s="2494"/>
      <c r="X772" s="2494"/>
      <c r="Y772" s="2494"/>
      <c r="Z772" s="2494"/>
      <c r="AA772" s="2494"/>
      <c r="AB772" s="2494"/>
      <c r="AC772" s="2494"/>
      <c r="AD772" s="2494"/>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509</v>
      </c>
      <c r="E774" s="2533" t="s">
        <v>1696</v>
      </c>
      <c r="F774" s="2533"/>
      <c r="G774" s="2533"/>
      <c r="H774" s="2533"/>
      <c r="I774" s="2533"/>
      <c r="J774" s="2533"/>
      <c r="K774" s="2533"/>
      <c r="L774" s="2533"/>
      <c r="M774" s="2533"/>
      <c r="N774" s="2533"/>
      <c r="O774" s="2533"/>
      <c r="P774" s="2533"/>
      <c r="Q774" s="2533"/>
      <c r="R774" s="2533"/>
      <c r="S774" s="2533"/>
      <c r="T774" s="2533"/>
      <c r="U774" s="2533"/>
      <c r="V774" s="2533"/>
      <c r="W774" s="2533"/>
      <c r="X774" s="2533"/>
      <c r="Y774" s="2533"/>
      <c r="Z774" s="2533"/>
      <c r="AA774" s="2533"/>
      <c r="AB774" s="2533"/>
      <c r="AC774" s="2533"/>
      <c r="AD774" s="2533"/>
      <c r="AE774" s="536"/>
      <c r="AF774" s="2439" t="s">
        <v>1351</v>
      </c>
      <c r="AG774" s="2439"/>
      <c r="AH774" s="2439"/>
      <c r="AI774" s="2439"/>
      <c r="AJ774" s="2439"/>
      <c r="AK774" s="2439"/>
      <c r="AL774" s="2439"/>
      <c r="AM774" s="613"/>
      <c r="AN774" s="597"/>
    </row>
    <row r="775" spans="1:81" s="550" customFormat="1" ht="12.75" customHeight="1">
      <c r="B775" s="616"/>
      <c r="C775" s="940"/>
      <c r="D775" s="663"/>
      <c r="E775" s="2533"/>
      <c r="F775" s="2533"/>
      <c r="G775" s="2533"/>
      <c r="H775" s="2533"/>
      <c r="I775" s="2533"/>
      <c r="J775" s="2533"/>
      <c r="K775" s="2533"/>
      <c r="L775" s="2533"/>
      <c r="M775" s="2533"/>
      <c r="N775" s="2533"/>
      <c r="O775" s="2533"/>
      <c r="P775" s="2533"/>
      <c r="Q775" s="2533"/>
      <c r="R775" s="2533"/>
      <c r="S775" s="2533"/>
      <c r="T775" s="2533"/>
      <c r="U775" s="2533"/>
      <c r="V775" s="2533"/>
      <c r="W775" s="2533"/>
      <c r="X775" s="2533"/>
      <c r="Y775" s="2533"/>
      <c r="Z775" s="2533"/>
      <c r="AA775" s="2533"/>
      <c r="AB775" s="2533"/>
      <c r="AC775" s="2533"/>
      <c r="AD775" s="2533"/>
      <c r="AE775" s="594"/>
      <c r="AF775" s="594"/>
      <c r="AG775" s="594"/>
      <c r="AH775" s="594"/>
      <c r="AI775" s="594"/>
      <c r="AJ775" s="594"/>
      <c r="AK775" s="594"/>
      <c r="AL775" s="594"/>
      <c r="AM775" s="613"/>
      <c r="AN775" s="597"/>
    </row>
    <row r="776" spans="1:81" s="550" customFormat="1" ht="12.75" customHeight="1">
      <c r="B776" s="616"/>
      <c r="C776" s="940"/>
      <c r="D776" s="663"/>
      <c r="E776" s="2533"/>
      <c r="F776" s="2533"/>
      <c r="G776" s="2533"/>
      <c r="H776" s="2533"/>
      <c r="I776" s="2533"/>
      <c r="J776" s="2533"/>
      <c r="K776" s="2533"/>
      <c r="L776" s="2533"/>
      <c r="M776" s="2533"/>
      <c r="N776" s="2533"/>
      <c r="O776" s="2533"/>
      <c r="P776" s="2533"/>
      <c r="Q776" s="2533"/>
      <c r="R776" s="2533"/>
      <c r="S776" s="2533"/>
      <c r="T776" s="2533"/>
      <c r="U776" s="2533"/>
      <c r="V776" s="2533"/>
      <c r="W776" s="2533"/>
      <c r="X776" s="2533"/>
      <c r="Y776" s="2533"/>
      <c r="Z776" s="2533"/>
      <c r="AA776" s="2533"/>
      <c r="AB776" s="2533"/>
      <c r="AC776" s="2533"/>
      <c r="AD776" s="2533"/>
      <c r="AE776" s="594"/>
      <c r="AF776" s="594"/>
      <c r="AG776" s="594"/>
      <c r="AH776" s="594"/>
      <c r="AI776" s="594"/>
      <c r="AJ776" s="594"/>
      <c r="AK776" s="594"/>
      <c r="AL776" s="594"/>
      <c r="AM776" s="613"/>
      <c r="AN776" s="597"/>
    </row>
    <row r="777" spans="1:81" s="550" customFormat="1" ht="12.75" customHeight="1">
      <c r="B777" s="616"/>
      <c r="C777" s="940"/>
      <c r="D777" s="663"/>
      <c r="E777" s="2533"/>
      <c r="F777" s="2533"/>
      <c r="G777" s="2533"/>
      <c r="H777" s="2533"/>
      <c r="I777" s="2533"/>
      <c r="J777" s="2533"/>
      <c r="K777" s="2533"/>
      <c r="L777" s="2533"/>
      <c r="M777" s="2533"/>
      <c r="N777" s="2533"/>
      <c r="O777" s="2533"/>
      <c r="P777" s="2533"/>
      <c r="Q777" s="2533"/>
      <c r="R777" s="2533"/>
      <c r="S777" s="2533"/>
      <c r="T777" s="2533"/>
      <c r="U777" s="2533"/>
      <c r="V777" s="2533"/>
      <c r="W777" s="2533"/>
      <c r="X777" s="2533"/>
      <c r="Y777" s="2533"/>
      <c r="Z777" s="2533"/>
      <c r="AA777" s="2533"/>
      <c r="AB777" s="2533"/>
      <c r="AC777" s="2533"/>
      <c r="AD777" s="2533"/>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1399</v>
      </c>
      <c r="E779" s="936"/>
      <c r="F779" s="936"/>
      <c r="G779" s="936"/>
      <c r="H779" s="2523" t="s">
        <v>591</v>
      </c>
      <c r="I779" s="2523"/>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1447</v>
      </c>
      <c r="AJ781" s="2474">
        <f>VLOOKUP($H$779,$AO$769:$AP$771,2,FALSE)</f>
        <v>0</v>
      </c>
      <c r="AK781" s="2476"/>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1448</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591</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 customHeight="1">
      <c r="A785" s="550"/>
      <c r="B785" s="616"/>
      <c r="C785" s="940"/>
      <c r="D785" s="663" t="s">
        <v>687</v>
      </c>
      <c r="E785" s="2494" t="s">
        <v>2032</v>
      </c>
      <c r="F785" s="2494"/>
      <c r="G785" s="2494"/>
      <c r="H785" s="2494"/>
      <c r="I785" s="2494"/>
      <c r="J785" s="2494"/>
      <c r="K785" s="2494"/>
      <c r="L785" s="2494"/>
      <c r="M785" s="2494"/>
      <c r="N785" s="2494"/>
      <c r="O785" s="2494"/>
      <c r="P785" s="2494"/>
      <c r="Q785" s="2494"/>
      <c r="R785" s="2494"/>
      <c r="S785" s="2494"/>
      <c r="T785" s="2494"/>
      <c r="U785" s="2494"/>
      <c r="V785" s="2494"/>
      <c r="W785" s="2494"/>
      <c r="X785" s="2494"/>
      <c r="Y785" s="2494"/>
      <c r="Z785" s="2494"/>
      <c r="AA785" s="2494"/>
      <c r="AB785" s="2494"/>
      <c r="AC785" s="2494"/>
      <c r="AD785" s="2494"/>
      <c r="AE785" s="536"/>
      <c r="AF785" s="2439" t="s">
        <v>1351</v>
      </c>
      <c r="AG785" s="2439"/>
      <c r="AH785" s="2439"/>
      <c r="AI785" s="2439"/>
      <c r="AJ785" s="2439"/>
      <c r="AK785" s="2439"/>
      <c r="AL785" s="2439"/>
      <c r="AM785" s="613"/>
      <c r="AN785" s="684"/>
      <c r="AO785" s="611" t="s">
        <v>545</v>
      </c>
      <c r="AP785" s="550">
        <v>3</v>
      </c>
      <c r="AT785" s="674"/>
      <c r="AU785" s="674"/>
      <c r="AV785" s="674"/>
      <c r="AW785" s="674"/>
      <c r="AX785" s="674"/>
      <c r="AY785" s="674"/>
      <c r="AZ785" s="674"/>
    </row>
    <row r="786" spans="1:81" s="570" customFormat="1" ht="13.7" customHeight="1">
      <c r="A786" s="550"/>
      <c r="B786" s="616"/>
      <c r="C786" s="940"/>
      <c r="D786" s="663"/>
      <c r="E786" s="2494"/>
      <c r="F786" s="2494"/>
      <c r="G786" s="2494"/>
      <c r="H786" s="2494"/>
      <c r="I786" s="2494"/>
      <c r="J786" s="2494"/>
      <c r="K786" s="2494"/>
      <c r="L786" s="2494"/>
      <c r="M786" s="2494"/>
      <c r="N786" s="2494"/>
      <c r="O786" s="2494"/>
      <c r="P786" s="2494"/>
      <c r="Q786" s="2494"/>
      <c r="R786" s="2494"/>
      <c r="S786" s="2494"/>
      <c r="T786" s="2494"/>
      <c r="U786" s="2494"/>
      <c r="V786" s="2494"/>
      <c r="W786" s="2494"/>
      <c r="X786" s="2494"/>
      <c r="Y786" s="2494"/>
      <c r="Z786" s="2494"/>
      <c r="AA786" s="2494"/>
      <c r="AB786" s="2494"/>
      <c r="AC786" s="2494"/>
      <c r="AD786" s="2494"/>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494"/>
      <c r="F787" s="2494"/>
      <c r="G787" s="2494"/>
      <c r="H787" s="2494"/>
      <c r="I787" s="2494"/>
      <c r="J787" s="2494"/>
      <c r="K787" s="2494"/>
      <c r="L787" s="2494"/>
      <c r="M787" s="2494"/>
      <c r="N787" s="2494"/>
      <c r="O787" s="2494"/>
      <c r="P787" s="2494"/>
      <c r="Q787" s="2494"/>
      <c r="R787" s="2494"/>
      <c r="S787" s="2494"/>
      <c r="T787" s="2494"/>
      <c r="U787" s="2494"/>
      <c r="V787" s="2494"/>
      <c r="W787" s="2494"/>
      <c r="X787" s="2494"/>
      <c r="Y787" s="2494"/>
      <c r="Z787" s="2494"/>
      <c r="AA787" s="2494"/>
      <c r="AB787" s="2494"/>
      <c r="AC787" s="2494"/>
      <c r="AD787" s="2494"/>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494"/>
      <c r="F788" s="2494"/>
      <c r="G788" s="2494"/>
      <c r="H788" s="2494"/>
      <c r="I788" s="2494"/>
      <c r="J788" s="2494"/>
      <c r="K788" s="2494"/>
      <c r="L788" s="2494"/>
      <c r="M788" s="2494"/>
      <c r="N788" s="2494"/>
      <c r="O788" s="2494"/>
      <c r="P788" s="2494"/>
      <c r="Q788" s="2494"/>
      <c r="R788" s="2494"/>
      <c r="S788" s="2494"/>
      <c r="T788" s="2494"/>
      <c r="U788" s="2494"/>
      <c r="V788" s="2494"/>
      <c r="W788" s="2494"/>
      <c r="X788" s="2494"/>
      <c r="Y788" s="2494"/>
      <c r="Z788" s="2494"/>
      <c r="AA788" s="2494"/>
      <c r="AB788" s="2494"/>
      <c r="AC788" s="2494"/>
      <c r="AD788" s="2494"/>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1399</v>
      </c>
      <c r="E790" s="936"/>
      <c r="F790" s="936"/>
      <c r="G790" s="936"/>
      <c r="H790" s="2523" t="s">
        <v>591</v>
      </c>
      <c r="I790" s="2523"/>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1449</v>
      </c>
      <c r="AJ792" s="2474">
        <f>VLOOKUP($H$790,$AO$784:$AP$785,2,FALSE)</f>
        <v>0</v>
      </c>
      <c r="AK792" s="2476"/>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1450</v>
      </c>
      <c r="AK794" s="2474">
        <f>IF(($AJ$621+$AJ$640+$AJ$652+$AJ$687+$AJ$711+$AJ$725+$AJ$737+$AJ$753+$AJ$765+$AJ$781+AJ792)&gt;10,10,($AJ$621+$AJ$640+$AJ$652+$AJ$687+$AJ$711+$AJ$725+$AJ$737+$AJ$753+$AJ$765+$AJ$781+AJ792))</f>
        <v>10</v>
      </c>
      <c r="AL794" s="2475"/>
      <c r="AM794" s="2476"/>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67" t="s">
        <v>1567</v>
      </c>
      <c r="B797" s="2568"/>
      <c r="C797" s="2568"/>
      <c r="D797" s="2568"/>
      <c r="E797" s="2568"/>
      <c r="F797" s="2568"/>
      <c r="G797" s="2568"/>
      <c r="H797" s="2568"/>
      <c r="I797" s="2568"/>
      <c r="J797" s="2568"/>
      <c r="K797" s="2568"/>
      <c r="L797" s="2568"/>
      <c r="M797" s="2568"/>
      <c r="N797" s="2568"/>
      <c r="O797" s="2568"/>
      <c r="P797" s="2568"/>
      <c r="Q797" s="2568"/>
      <c r="R797" s="2568"/>
      <c r="S797" s="2568"/>
      <c r="T797" s="2568"/>
      <c r="U797" s="2568"/>
      <c r="V797" s="2568"/>
      <c r="W797" s="2568"/>
      <c r="X797" s="2568"/>
      <c r="Y797" s="2568"/>
      <c r="Z797" s="2568"/>
      <c r="AA797" s="2568"/>
      <c r="AB797" s="2568"/>
      <c r="AC797" s="2568"/>
      <c r="AD797" s="2568"/>
      <c r="AE797" s="2568"/>
      <c r="AF797" s="2568"/>
      <c r="AG797" s="2568"/>
      <c r="AH797" s="2568"/>
      <c r="AI797" s="2568"/>
      <c r="AJ797" s="2568"/>
      <c r="AK797" s="2568"/>
      <c r="AL797" s="2568"/>
      <c r="AM797" s="2568"/>
    </row>
    <row r="798" spans="1:81">
      <c r="A798" s="2569"/>
      <c r="B798" s="2569"/>
      <c r="C798" s="2569"/>
      <c r="D798" s="2569"/>
      <c r="E798" s="2569"/>
      <c r="F798" s="2569"/>
      <c r="G798" s="2569"/>
      <c r="H798" s="2569"/>
      <c r="I798" s="2569"/>
      <c r="J798" s="2569"/>
      <c r="K798" s="2569"/>
      <c r="L798" s="2569"/>
      <c r="M798" s="2569"/>
      <c r="N798" s="2569"/>
      <c r="O798" s="2569"/>
      <c r="P798" s="2569"/>
      <c r="Q798" s="2569"/>
      <c r="R798" s="2569"/>
      <c r="S798" s="2569"/>
      <c r="T798" s="2569"/>
      <c r="U798" s="2569"/>
      <c r="V798" s="2569"/>
      <c r="W798" s="2569"/>
      <c r="X798" s="2569"/>
      <c r="Y798" s="2569"/>
      <c r="Z798" s="2569"/>
      <c r="AA798" s="2569"/>
      <c r="AB798" s="2569"/>
      <c r="AC798" s="2569"/>
      <c r="AD798" s="2569"/>
      <c r="AE798" s="2569"/>
      <c r="AF798" s="2569"/>
      <c r="AG798" s="2569"/>
      <c r="AH798" s="2569"/>
      <c r="AI798" s="2569"/>
      <c r="AJ798" s="2569"/>
      <c r="AK798" s="2569"/>
      <c r="AL798" s="2569"/>
      <c r="AM798" s="2569"/>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515"/>
      <c r="B800" s="2515"/>
      <c r="C800" s="2515"/>
      <c r="D800" s="2515"/>
      <c r="E800" s="2515"/>
      <c r="F800" s="2515"/>
      <c r="G800" s="2515"/>
      <c r="H800" s="2515"/>
      <c r="I800" s="2515"/>
      <c r="J800" s="2515"/>
      <c r="K800" s="2515"/>
      <c r="L800" s="2515"/>
      <c r="M800" s="2515"/>
      <c r="N800" s="2515"/>
      <c r="O800" s="2515"/>
      <c r="P800" s="2515"/>
      <c r="Q800" s="2515"/>
      <c r="R800" s="2515"/>
      <c r="S800" s="2515"/>
      <c r="T800" s="2515"/>
      <c r="U800" s="2515"/>
      <c r="V800" s="2515"/>
      <c r="W800" s="2515"/>
      <c r="X800" s="2515"/>
      <c r="Y800" s="2515"/>
      <c r="Z800" s="2515"/>
      <c r="AA800" s="2515"/>
      <c r="AB800" s="2515"/>
      <c r="AC800" s="2515"/>
      <c r="AD800" s="2515"/>
      <c r="AE800" s="2515"/>
      <c r="AF800" s="2515"/>
      <c r="AG800" s="2515"/>
      <c r="AH800" s="2515"/>
      <c r="AI800" s="2515"/>
      <c r="AJ800" s="2515"/>
      <c r="AK800" s="2515"/>
      <c r="AL800" s="2515"/>
      <c r="AM800" s="2515"/>
      <c r="AP800" s="816"/>
      <c r="AQ800" s="816"/>
    </row>
    <row r="801" spans="1:81">
      <c r="A801" s="2515"/>
      <c r="B801" s="2515"/>
      <c r="C801" s="2515"/>
      <c r="D801" s="2515"/>
      <c r="E801" s="2515"/>
      <c r="F801" s="2515"/>
      <c r="G801" s="2515"/>
      <c r="H801" s="2515"/>
      <c r="I801" s="2515"/>
      <c r="J801" s="2515"/>
      <c r="K801" s="2515"/>
      <c r="L801" s="2515"/>
      <c r="M801" s="2515"/>
      <c r="N801" s="2515"/>
      <c r="O801" s="2515"/>
      <c r="P801" s="2515"/>
      <c r="Q801" s="2515"/>
      <c r="R801" s="2515"/>
      <c r="S801" s="2515"/>
      <c r="T801" s="2515"/>
      <c r="U801" s="2515"/>
      <c r="V801" s="2515"/>
      <c r="W801" s="2515"/>
      <c r="X801" s="2515"/>
      <c r="Y801" s="2515"/>
      <c r="Z801" s="2515"/>
      <c r="AA801" s="2515"/>
      <c r="AB801" s="2515"/>
      <c r="AC801" s="2515"/>
      <c r="AD801" s="2515"/>
      <c r="AE801" s="2515"/>
      <c r="AF801" s="2515"/>
      <c r="AG801" s="2515"/>
      <c r="AH801" s="2515"/>
      <c r="AI801" s="2515"/>
      <c r="AJ801" s="2515"/>
      <c r="AK801" s="2515"/>
      <c r="AL801" s="2515"/>
      <c r="AM801" s="2515"/>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70" t="s">
        <v>1568</v>
      </c>
      <c r="U802" s="2571"/>
      <c r="V802" s="2571"/>
      <c r="W802" s="2571"/>
      <c r="X802" s="2571"/>
      <c r="Y802" s="2572"/>
      <c r="Z802" s="2570" t="s">
        <v>1569</v>
      </c>
      <c r="AA802" s="2571"/>
      <c r="AB802" s="2571"/>
      <c r="AC802" s="2571"/>
      <c r="AD802" s="2571"/>
      <c r="AE802" s="2572"/>
      <c r="AF802" s="2570" t="s">
        <v>1570</v>
      </c>
      <c r="AG802" s="2571"/>
      <c r="AH802" s="2571"/>
      <c r="AI802" s="2571"/>
      <c r="AJ802" s="2571"/>
      <c r="AK802" s="2572"/>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73"/>
      <c r="U803" s="2574"/>
      <c r="V803" s="2574"/>
      <c r="W803" s="2574"/>
      <c r="X803" s="2574"/>
      <c r="Y803" s="2575"/>
      <c r="Z803" s="2573"/>
      <c r="AA803" s="2574"/>
      <c r="AB803" s="2574"/>
      <c r="AC803" s="2574"/>
      <c r="AD803" s="2574"/>
      <c r="AE803" s="2575"/>
      <c r="AF803" s="2573"/>
      <c r="AG803" s="2574"/>
      <c r="AH803" s="2574"/>
      <c r="AI803" s="2574"/>
      <c r="AJ803" s="2574"/>
      <c r="AK803" s="2575"/>
      <c r="AL803" s="818"/>
      <c r="AM803" s="596"/>
      <c r="AO803" s="816"/>
      <c r="AP803" s="816"/>
      <c r="AQ803" s="816"/>
    </row>
    <row r="804" spans="1:81">
      <c r="A804" s="819" t="s">
        <v>757</v>
      </c>
      <c r="B804" s="2550" t="s">
        <v>1303</v>
      </c>
      <c r="C804" s="2550"/>
      <c r="D804" s="2550"/>
      <c r="E804" s="2550"/>
      <c r="F804" s="2550"/>
      <c r="G804" s="2550"/>
      <c r="H804" s="2550"/>
      <c r="I804" s="2550"/>
      <c r="J804" s="2550"/>
      <c r="K804" s="2550"/>
      <c r="L804" s="2550"/>
      <c r="M804" s="2550"/>
      <c r="N804" s="2550"/>
      <c r="O804" s="2550"/>
      <c r="P804" s="2550"/>
      <c r="Q804" s="2550"/>
      <c r="R804" s="2550"/>
      <c r="S804" s="2551"/>
      <c r="T804" s="2552">
        <f>AK62</f>
        <v>0</v>
      </c>
      <c r="U804" s="2553"/>
      <c r="V804" s="2553"/>
      <c r="W804" s="2553"/>
      <c r="X804" s="2553"/>
      <c r="Y804" s="2554"/>
      <c r="Z804" s="2555">
        <v>20</v>
      </c>
      <c r="AA804" s="2553"/>
      <c r="AB804" s="2553"/>
      <c r="AC804" s="2553"/>
      <c r="AD804" s="2553"/>
      <c r="AE804" s="2554"/>
      <c r="AF804" s="2536">
        <f>IF(T804&gt;Z804,Z804,T804)</f>
        <v>0</v>
      </c>
      <c r="AG804" s="2536"/>
      <c r="AH804" s="2536"/>
      <c r="AI804" s="2536"/>
      <c r="AJ804" s="2536"/>
      <c r="AK804" s="2536"/>
      <c r="AL804" s="818"/>
      <c r="AM804" s="596"/>
      <c r="AO804" s="816"/>
      <c r="AP804" s="816"/>
      <c r="AQ804" s="816"/>
    </row>
    <row r="805" spans="1:81">
      <c r="A805" s="819" t="s">
        <v>1540</v>
      </c>
      <c r="B805" s="2550" t="s">
        <v>1312</v>
      </c>
      <c r="C805" s="2550"/>
      <c r="D805" s="2550"/>
      <c r="E805" s="2550"/>
      <c r="F805" s="2550"/>
      <c r="G805" s="2550"/>
      <c r="H805" s="2550"/>
      <c r="I805" s="2550"/>
      <c r="J805" s="2550"/>
      <c r="K805" s="2550"/>
      <c r="L805" s="2550"/>
      <c r="M805" s="2550"/>
      <c r="N805" s="2550"/>
      <c r="O805" s="2550"/>
      <c r="P805" s="2550"/>
      <c r="Q805" s="2550"/>
      <c r="R805" s="2550"/>
      <c r="S805" s="2551"/>
      <c r="T805" s="2552">
        <f>AK84</f>
        <v>10</v>
      </c>
      <c r="U805" s="2553"/>
      <c r="V805" s="2553"/>
      <c r="W805" s="2553"/>
      <c r="X805" s="2553"/>
      <c r="Y805" s="2554"/>
      <c r="Z805" s="2555">
        <v>10</v>
      </c>
      <c r="AA805" s="2553"/>
      <c r="AB805" s="2553"/>
      <c r="AC805" s="2553"/>
      <c r="AD805" s="2553"/>
      <c r="AE805" s="2554"/>
      <c r="AF805" s="2536">
        <f>IF(T805&gt;Z805,Z805,T805)</f>
        <v>10</v>
      </c>
      <c r="AG805" s="2536"/>
      <c r="AH805" s="2536"/>
      <c r="AI805" s="2536"/>
      <c r="AJ805" s="2536"/>
      <c r="AK805" s="2536"/>
      <c r="AL805" s="818"/>
      <c r="AM805" s="596"/>
      <c r="AO805" s="816"/>
      <c r="AP805" s="816"/>
      <c r="AQ805" s="816"/>
    </row>
    <row r="806" spans="1:81">
      <c r="A806" s="819" t="s">
        <v>1549</v>
      </c>
      <c r="B806" s="2550" t="s">
        <v>1322</v>
      </c>
      <c r="C806" s="2550"/>
      <c r="D806" s="2550"/>
      <c r="E806" s="2550"/>
      <c r="F806" s="2550"/>
      <c r="G806" s="2550"/>
      <c r="H806" s="2550"/>
      <c r="I806" s="2550"/>
      <c r="J806" s="2550"/>
      <c r="K806" s="2550"/>
      <c r="L806" s="2550"/>
      <c r="M806" s="2550"/>
      <c r="N806" s="2550"/>
      <c r="O806" s="2550"/>
      <c r="P806" s="2550"/>
      <c r="Q806" s="2550"/>
      <c r="R806" s="2550"/>
      <c r="S806" s="2551"/>
      <c r="T806" s="2552">
        <f ca="1">AK109</f>
        <v>20</v>
      </c>
      <c r="U806" s="2553"/>
      <c r="V806" s="2553"/>
      <c r="W806" s="2553"/>
      <c r="X806" s="2553"/>
      <c r="Y806" s="2554"/>
      <c r="Z806" s="2555">
        <v>20</v>
      </c>
      <c r="AA806" s="2553"/>
      <c r="AB806" s="2553"/>
      <c r="AC806" s="2553"/>
      <c r="AD806" s="2553"/>
      <c r="AE806" s="2554"/>
      <c r="AF806" s="2536">
        <f ca="1">IF(T806&gt;Z806,Z806,T806)</f>
        <v>20</v>
      </c>
      <c r="AG806" s="2536"/>
      <c r="AH806" s="2536"/>
      <c r="AI806" s="2536"/>
      <c r="AJ806" s="2536"/>
      <c r="AK806" s="2536"/>
      <c r="AL806" s="818"/>
      <c r="AM806" s="596"/>
      <c r="AO806" s="816"/>
      <c r="AP806" s="816"/>
      <c r="AQ806" s="816"/>
    </row>
    <row r="807" spans="1:81">
      <c r="A807" s="819" t="s">
        <v>1571</v>
      </c>
      <c r="B807" s="2550" t="s">
        <v>1332</v>
      </c>
      <c r="C807" s="2550"/>
      <c r="D807" s="2550"/>
      <c r="E807" s="2550"/>
      <c r="F807" s="2550"/>
      <c r="G807" s="2550"/>
      <c r="H807" s="2550"/>
      <c r="I807" s="2550"/>
      <c r="J807" s="2550"/>
      <c r="K807" s="2550"/>
      <c r="L807" s="2550"/>
      <c r="M807" s="2550"/>
      <c r="N807" s="2550"/>
      <c r="O807" s="2550"/>
      <c r="P807" s="2550"/>
      <c r="Q807" s="2550"/>
      <c r="R807" s="2550"/>
      <c r="S807" s="2551"/>
      <c r="T807" s="2552">
        <f>AK143</f>
        <v>10</v>
      </c>
      <c r="U807" s="2553"/>
      <c r="V807" s="2553"/>
      <c r="W807" s="2553"/>
      <c r="X807" s="2553"/>
      <c r="Y807" s="2554"/>
      <c r="Z807" s="2555">
        <v>10</v>
      </c>
      <c r="AA807" s="2553"/>
      <c r="AB807" s="2553"/>
      <c r="AC807" s="2553"/>
      <c r="AD807" s="2553"/>
      <c r="AE807" s="2554"/>
      <c r="AF807" s="2536">
        <f>IF(T807&gt;Z807,Z807,T807)</f>
        <v>10</v>
      </c>
      <c r="AG807" s="2536"/>
      <c r="AH807" s="2536"/>
      <c r="AI807" s="2536"/>
      <c r="AJ807" s="2536"/>
      <c r="AK807" s="2536"/>
      <c r="AL807" s="818"/>
      <c r="AM807" s="596"/>
      <c r="AO807" s="816"/>
      <c r="AP807" s="816"/>
      <c r="AQ807" s="816"/>
    </row>
    <row r="808" spans="1:81">
      <c r="A808" s="820" t="s">
        <v>1572</v>
      </c>
      <c r="B808" s="2550" t="s">
        <v>1573</v>
      </c>
      <c r="C808" s="2550"/>
      <c r="D808" s="2550"/>
      <c r="E808" s="2550"/>
      <c r="F808" s="2550"/>
      <c r="G808" s="2550"/>
      <c r="H808" s="2550"/>
      <c r="I808" s="2550"/>
      <c r="J808" s="2550"/>
      <c r="K808" s="2550"/>
      <c r="L808" s="2550"/>
      <c r="M808" s="2550"/>
      <c r="N808" s="2550"/>
      <c r="O808" s="2550"/>
      <c r="P808" s="2550"/>
      <c r="Q808" s="2550"/>
      <c r="R808" s="2550"/>
      <c r="S808" s="2551"/>
      <c r="T808" s="2576">
        <f>SUM(T809:Y810)</f>
        <v>10</v>
      </c>
      <c r="U808" s="2576"/>
      <c r="V808" s="2576"/>
      <c r="W808" s="2576"/>
      <c r="X808" s="2576"/>
      <c r="Y808" s="2576"/>
      <c r="Z808" s="2536">
        <v>10</v>
      </c>
      <c r="AA808" s="2536"/>
      <c r="AB808" s="2536"/>
      <c r="AC808" s="2536"/>
      <c r="AD808" s="2536"/>
      <c r="AE808" s="2536"/>
      <c r="AF808" s="2536">
        <f>IF(T808&gt;Z808,Z808,T808)</f>
        <v>10</v>
      </c>
      <c r="AG808" s="2536"/>
      <c r="AH808" s="2536"/>
      <c r="AI808" s="2536"/>
      <c r="AJ808" s="2536"/>
      <c r="AK808" s="2536"/>
      <c r="AL808" s="818"/>
      <c r="AM808" s="596"/>
    </row>
    <row r="809" spans="1:81">
      <c r="A809" s="535"/>
      <c r="B809" s="601"/>
      <c r="C809" s="2577" t="s">
        <v>1574</v>
      </c>
      <c r="D809" s="2577"/>
      <c r="E809" s="2577"/>
      <c r="F809" s="2577"/>
      <c r="G809" s="2577"/>
      <c r="H809" s="2577"/>
      <c r="I809" s="2577"/>
      <c r="J809" s="2577"/>
      <c r="K809" s="2577"/>
      <c r="L809" s="2577"/>
      <c r="M809" s="2577"/>
      <c r="N809" s="2577"/>
      <c r="O809" s="2577"/>
      <c r="P809" s="2577"/>
      <c r="Q809" s="2577"/>
      <c r="R809" s="2577"/>
      <c r="S809" s="2578"/>
      <c r="T809" s="2469">
        <f>AJ166</f>
        <v>7</v>
      </c>
      <c r="U809" s="2469"/>
      <c r="V809" s="2469"/>
      <c r="W809" s="2469"/>
      <c r="X809" s="2469"/>
      <c r="Y809" s="2469"/>
      <c r="Z809" s="2470">
        <v>7</v>
      </c>
      <c r="AA809" s="2470"/>
      <c r="AB809" s="2470"/>
      <c r="AC809" s="2470"/>
      <c r="AD809" s="2470"/>
      <c r="AE809" s="2470"/>
      <c r="AF809" s="2579"/>
      <c r="AG809" s="2579"/>
      <c r="AH809" s="2579"/>
      <c r="AI809" s="2579"/>
      <c r="AJ809" s="2579"/>
      <c r="AK809" s="2579"/>
      <c r="AL809" s="818"/>
      <c r="AM809" s="596"/>
    </row>
    <row r="810" spans="1:81">
      <c r="A810" s="600"/>
      <c r="B810" s="601"/>
      <c r="C810" s="2577" t="s">
        <v>1575</v>
      </c>
      <c r="D810" s="2577"/>
      <c r="E810" s="2577"/>
      <c r="F810" s="2577"/>
      <c r="G810" s="2577"/>
      <c r="H810" s="2577"/>
      <c r="I810" s="2577"/>
      <c r="J810" s="2577"/>
      <c r="K810" s="2577"/>
      <c r="L810" s="2577"/>
      <c r="M810" s="2577"/>
      <c r="N810" s="2577"/>
      <c r="O810" s="2577"/>
      <c r="P810" s="2577"/>
      <c r="Q810" s="2577"/>
      <c r="R810" s="2577"/>
      <c r="S810" s="2578"/>
      <c r="T810" s="2469">
        <f>AJ180</f>
        <v>3</v>
      </c>
      <c r="U810" s="2469"/>
      <c r="V810" s="2469"/>
      <c r="W810" s="2469"/>
      <c r="X810" s="2469"/>
      <c r="Y810" s="2469"/>
      <c r="Z810" s="2470">
        <v>3</v>
      </c>
      <c r="AA810" s="2470"/>
      <c r="AB810" s="2470"/>
      <c r="AC810" s="2470"/>
      <c r="AD810" s="2470"/>
      <c r="AE810" s="2470"/>
      <c r="AF810" s="2579"/>
      <c r="AG810" s="2579"/>
      <c r="AH810" s="2579"/>
      <c r="AI810" s="2579"/>
      <c r="AJ810" s="2579"/>
      <c r="AK810" s="2579"/>
      <c r="AL810" s="818"/>
      <c r="AM810" s="596"/>
      <c r="AO810" s="550"/>
    </row>
    <row r="811" spans="1:81">
      <c r="A811" s="820" t="s">
        <v>1360</v>
      </c>
      <c r="B811" s="2550" t="s">
        <v>1576</v>
      </c>
      <c r="C811" s="2550"/>
      <c r="D811" s="2550"/>
      <c r="E811" s="2550"/>
      <c r="F811" s="2550"/>
      <c r="G811" s="2550"/>
      <c r="H811" s="2550"/>
      <c r="I811" s="2550"/>
      <c r="J811" s="2550"/>
      <c r="K811" s="2550"/>
      <c r="L811" s="2550"/>
      <c r="M811" s="2550"/>
      <c r="N811" s="2550"/>
      <c r="O811" s="2550"/>
      <c r="P811" s="2550"/>
      <c r="Q811" s="2550"/>
      <c r="R811" s="2550"/>
      <c r="S811" s="2551"/>
      <c r="T811" s="2576">
        <f>AK191</f>
        <v>10</v>
      </c>
      <c r="U811" s="2576"/>
      <c r="V811" s="2576"/>
      <c r="W811" s="2576"/>
      <c r="X811" s="2576"/>
      <c r="Y811" s="2576"/>
      <c r="Z811" s="2536">
        <v>10</v>
      </c>
      <c r="AA811" s="2536"/>
      <c r="AB811" s="2536"/>
      <c r="AC811" s="2536"/>
      <c r="AD811" s="2536"/>
      <c r="AE811" s="2536"/>
      <c r="AF811" s="2536">
        <f>IF(T811&gt;Z811,Z811,T811)</f>
        <v>10</v>
      </c>
      <c r="AG811" s="2536"/>
      <c r="AH811" s="2536"/>
      <c r="AI811" s="2536"/>
      <c r="AJ811" s="2536"/>
      <c r="AK811" s="2536"/>
      <c r="AL811" s="818"/>
      <c r="AM811" s="596"/>
    </row>
    <row r="812" spans="1:81">
      <c r="A812" s="819" t="s">
        <v>1369</v>
      </c>
      <c r="B812" s="2550" t="s">
        <v>1370</v>
      </c>
      <c r="C812" s="2550"/>
      <c r="D812" s="2550"/>
      <c r="E812" s="2550"/>
      <c r="F812" s="2550"/>
      <c r="G812" s="2550"/>
      <c r="H812" s="2550"/>
      <c r="I812" s="2550"/>
      <c r="J812" s="2550"/>
      <c r="K812" s="2550"/>
      <c r="L812" s="2550"/>
      <c r="M812" s="2550"/>
      <c r="N812" s="2550"/>
      <c r="O812" s="2550"/>
      <c r="P812" s="2550"/>
      <c r="Q812" s="2550"/>
      <c r="R812" s="2550"/>
      <c r="S812" s="2551"/>
      <c r="T812" s="2576">
        <f>AK273</f>
        <v>8</v>
      </c>
      <c r="U812" s="2576"/>
      <c r="V812" s="2576"/>
      <c r="W812" s="2576"/>
      <c r="X812" s="2576"/>
      <c r="Y812" s="2576"/>
      <c r="Z812" s="2555">
        <v>8</v>
      </c>
      <c r="AA812" s="2553"/>
      <c r="AB812" s="2553"/>
      <c r="AC812" s="2553"/>
      <c r="AD812" s="2553"/>
      <c r="AE812" s="2554"/>
      <c r="AF812" s="2536">
        <f>IF(T812&gt;Z812,Z812,T812)</f>
        <v>8</v>
      </c>
      <c r="AG812" s="2536"/>
      <c r="AH812" s="2536"/>
      <c r="AI812" s="2536"/>
      <c r="AJ812" s="2536"/>
      <c r="AK812" s="2536"/>
      <c r="AL812" s="818"/>
      <c r="AM812" s="596"/>
    </row>
    <row r="813" spans="1:81" s="534" customFormat="1" hidden="1">
      <c r="A813" s="820" t="s">
        <v>589</v>
      </c>
      <c r="B813" s="2550" t="s">
        <v>1577</v>
      </c>
      <c r="C813" s="2550"/>
      <c r="D813" s="2550"/>
      <c r="E813" s="2550"/>
      <c r="F813" s="2550"/>
      <c r="G813" s="2550"/>
      <c r="H813" s="2550"/>
      <c r="I813" s="2550"/>
      <c r="J813" s="2550"/>
      <c r="K813" s="2550"/>
      <c r="L813" s="2550"/>
      <c r="M813" s="2550"/>
      <c r="N813" s="2550"/>
      <c r="O813" s="2550"/>
      <c r="P813" s="2550"/>
      <c r="Q813" s="2550"/>
      <c r="R813" s="2550"/>
      <c r="S813" s="2551"/>
      <c r="T813" s="2576">
        <f>IF(AK535&gt;5,5,AK535)</f>
        <v>0</v>
      </c>
      <c r="U813" s="2576"/>
      <c r="V813" s="2576"/>
      <c r="W813" s="2576"/>
      <c r="X813" s="2576"/>
      <c r="Y813" s="2576"/>
      <c r="Z813" s="2536">
        <v>5</v>
      </c>
      <c r="AA813" s="2536"/>
      <c r="AB813" s="2536"/>
      <c r="AC813" s="2536"/>
      <c r="AD813" s="2536"/>
      <c r="AE813" s="2536"/>
      <c r="AF813" s="2536">
        <f>IF(T813&gt;Z813,5,T813)</f>
        <v>0</v>
      </c>
      <c r="AG813" s="2536"/>
      <c r="AH813" s="2536"/>
      <c r="AI813" s="2536"/>
      <c r="AJ813" s="2536"/>
      <c r="AK813" s="2536"/>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1375</v>
      </c>
      <c r="B814" s="2550" t="s">
        <v>1578</v>
      </c>
      <c r="C814" s="2550"/>
      <c r="D814" s="2550"/>
      <c r="E814" s="2550"/>
      <c r="F814" s="2550"/>
      <c r="G814" s="2550"/>
      <c r="H814" s="2550"/>
      <c r="I814" s="2550"/>
      <c r="J814" s="2550"/>
      <c r="K814" s="2550"/>
      <c r="L814" s="2550"/>
      <c r="M814" s="2550"/>
      <c r="N814" s="2550"/>
      <c r="O814" s="2550"/>
      <c r="P814" s="2550"/>
      <c r="Q814" s="2550"/>
      <c r="R814" s="2550"/>
      <c r="S814" s="2551"/>
      <c r="T814" s="2576">
        <f>AK285</f>
        <v>10</v>
      </c>
      <c r="U814" s="2576"/>
      <c r="V814" s="2576"/>
      <c r="W814" s="2576"/>
      <c r="X814" s="2576"/>
      <c r="Y814" s="2576"/>
      <c r="Z814" s="2536">
        <v>10</v>
      </c>
      <c r="AA814" s="2536"/>
      <c r="AB814" s="2536"/>
      <c r="AC814" s="2536"/>
      <c r="AD814" s="2536"/>
      <c r="AE814" s="2536"/>
      <c r="AF814" s="2582">
        <f>IF(T814&gt;Z814,Z814,T814)</f>
        <v>10</v>
      </c>
      <c r="AG814" s="2583"/>
      <c r="AH814" s="2583"/>
      <c r="AI814" s="2583"/>
      <c r="AJ814" s="2583"/>
      <c r="AK814" s="2584"/>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1379</v>
      </c>
      <c r="B815" s="2550" t="s">
        <v>1380</v>
      </c>
      <c r="C815" s="2550"/>
      <c r="D815" s="2550"/>
      <c r="E815" s="2550"/>
      <c r="F815" s="2550"/>
      <c r="G815" s="2550"/>
      <c r="H815" s="2550"/>
      <c r="I815" s="2550"/>
      <c r="J815" s="2550"/>
      <c r="K815" s="2550"/>
      <c r="L815" s="2550"/>
      <c r="M815" s="2550"/>
      <c r="N815" s="2550"/>
      <c r="O815" s="2550"/>
      <c r="P815" s="2550"/>
      <c r="Q815" s="2550"/>
      <c r="R815" s="2550"/>
      <c r="S815" s="2551"/>
      <c r="T815" s="2576">
        <f>AK338</f>
        <v>9</v>
      </c>
      <c r="U815" s="2576"/>
      <c r="V815" s="2576"/>
      <c r="W815" s="2576"/>
      <c r="X815" s="2576"/>
      <c r="Y815" s="2576"/>
      <c r="Z815" s="2582">
        <v>10</v>
      </c>
      <c r="AA815" s="2583"/>
      <c r="AB815" s="2583"/>
      <c r="AC815" s="2583"/>
      <c r="AD815" s="2583"/>
      <c r="AE815" s="2584"/>
      <c r="AF815" s="2582">
        <f>IF(T815&gt;Z815,Z815,T815)</f>
        <v>9</v>
      </c>
      <c r="AG815" s="2583"/>
      <c r="AH815" s="2583"/>
      <c r="AI815" s="2583"/>
      <c r="AJ815" s="2583"/>
      <c r="AK815" s="2584"/>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1579</v>
      </c>
      <c r="D816" s="823"/>
      <c r="E816" s="823"/>
      <c r="F816" s="823"/>
      <c r="G816" s="823"/>
      <c r="H816" s="823"/>
      <c r="I816" s="823"/>
      <c r="J816" s="823"/>
      <c r="K816" s="823"/>
      <c r="L816" s="823"/>
      <c r="M816" s="823"/>
      <c r="N816" s="823"/>
      <c r="O816" s="823"/>
      <c r="P816" s="823"/>
      <c r="Q816" s="823"/>
      <c r="R816" s="821"/>
      <c r="S816" s="824"/>
      <c r="T816" s="2469">
        <f>AK338</f>
        <v>9</v>
      </c>
      <c r="U816" s="2469"/>
      <c r="V816" s="2469"/>
      <c r="W816" s="2469"/>
      <c r="X816" s="2469"/>
      <c r="Y816" s="2469"/>
      <c r="Z816" s="2474">
        <v>20</v>
      </c>
      <c r="AA816" s="2475"/>
      <c r="AB816" s="2475"/>
      <c r="AC816" s="2475"/>
      <c r="AD816" s="2475"/>
      <c r="AE816" s="2476"/>
      <c r="AF816" s="2579"/>
      <c r="AG816" s="2579"/>
      <c r="AH816" s="2579"/>
      <c r="AI816" s="2579"/>
      <c r="AJ816" s="2579"/>
      <c r="AK816" s="2579"/>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1452</v>
      </c>
      <c r="B817" s="2550" t="s">
        <v>845</v>
      </c>
      <c r="C817" s="2550"/>
      <c r="D817" s="2550"/>
      <c r="E817" s="2550"/>
      <c r="F817" s="2550"/>
      <c r="G817" s="2550"/>
      <c r="H817" s="2550"/>
      <c r="I817" s="2550"/>
      <c r="J817" s="2550"/>
      <c r="K817" s="2550"/>
      <c r="L817" s="2550"/>
      <c r="M817" s="2550"/>
      <c r="N817" s="2550"/>
      <c r="O817" s="2550"/>
      <c r="P817" s="2550"/>
      <c r="Q817" s="2550"/>
      <c r="R817" s="2550"/>
      <c r="S817" s="2551"/>
      <c r="T817" s="2576">
        <f>AK469</f>
        <v>10</v>
      </c>
      <c r="U817" s="2576"/>
      <c r="V817" s="2576"/>
      <c r="W817" s="2576"/>
      <c r="X817" s="2576"/>
      <c r="Y817" s="2576"/>
      <c r="Z817" s="2582">
        <v>10</v>
      </c>
      <c r="AA817" s="2583"/>
      <c r="AB817" s="2583"/>
      <c r="AC817" s="2583"/>
      <c r="AD817" s="2583"/>
      <c r="AE817" s="2584"/>
      <c r="AF817" s="2536">
        <f>IF(T817&gt;Z817,Z817,T817)</f>
        <v>10</v>
      </c>
      <c r="AG817" s="2536"/>
      <c r="AH817" s="2536"/>
      <c r="AI817" s="2536"/>
      <c r="AJ817" s="2536"/>
      <c r="AK817" s="2536"/>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1557</v>
      </c>
      <c r="B818" s="2550" t="s">
        <v>1558</v>
      </c>
      <c r="C818" s="2550"/>
      <c r="D818" s="2550"/>
      <c r="E818" s="2550"/>
      <c r="F818" s="2550"/>
      <c r="G818" s="2550"/>
      <c r="H818" s="2550"/>
      <c r="I818" s="2550"/>
      <c r="J818" s="2550"/>
      <c r="K818" s="2550"/>
      <c r="L818" s="2550"/>
      <c r="M818" s="2550"/>
      <c r="N818" s="2550"/>
      <c r="O818" s="2550"/>
      <c r="P818" s="2550"/>
      <c r="Q818" s="2550"/>
      <c r="R818" s="2550"/>
      <c r="S818" s="2551"/>
      <c r="T818" s="2576">
        <f>AK559</f>
        <v>12</v>
      </c>
      <c r="U818" s="2576"/>
      <c r="V818" s="2576"/>
      <c r="W818" s="2576"/>
      <c r="X818" s="2576"/>
      <c r="Y818" s="2576"/>
      <c r="Z818" s="2582">
        <v>12</v>
      </c>
      <c r="AA818" s="2583"/>
      <c r="AB818" s="2583"/>
      <c r="AC818" s="2583"/>
      <c r="AD818" s="2583"/>
      <c r="AE818" s="2584"/>
      <c r="AF818" s="2536">
        <f>IF(T818&gt;Z818,Z818,T818)</f>
        <v>12</v>
      </c>
      <c r="AG818" s="2536"/>
      <c r="AH818" s="2536"/>
      <c r="AI818" s="2536"/>
      <c r="AJ818" s="2536"/>
      <c r="AK818" s="2536"/>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2020</v>
      </c>
      <c r="B819" s="2550" t="s">
        <v>1580</v>
      </c>
      <c r="C819" s="2550"/>
      <c r="D819" s="2550"/>
      <c r="E819" s="2550"/>
      <c r="F819" s="2550"/>
      <c r="G819" s="2550"/>
      <c r="H819" s="2550"/>
      <c r="I819" s="2550"/>
      <c r="J819" s="2550"/>
      <c r="K819" s="2550"/>
      <c r="L819" s="2550"/>
      <c r="M819" s="2550"/>
      <c r="N819" s="2550"/>
      <c r="O819" s="2550"/>
      <c r="P819" s="2550"/>
      <c r="Q819" s="2550"/>
      <c r="R819" s="2550"/>
      <c r="S819" s="2551"/>
      <c r="T819" s="2576">
        <f>AK794</f>
        <v>10</v>
      </c>
      <c r="U819" s="2576"/>
      <c r="V819" s="2576"/>
      <c r="W819" s="2576"/>
      <c r="X819" s="2576"/>
      <c r="Y819" s="2576"/>
      <c r="Z819" s="2582">
        <v>10</v>
      </c>
      <c r="AA819" s="2583"/>
      <c r="AB819" s="2583"/>
      <c r="AC819" s="2583"/>
      <c r="AD819" s="2583"/>
      <c r="AE819" s="2584"/>
      <c r="AF819" s="2536">
        <f>IF(T819&gt;Z819,Z819,T819)</f>
        <v>10</v>
      </c>
      <c r="AG819" s="2536"/>
      <c r="AH819" s="2536"/>
      <c r="AI819" s="2536"/>
      <c r="AJ819" s="2536"/>
      <c r="AK819" s="2536"/>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580" t="s">
        <v>1581</v>
      </c>
      <c r="B820" s="2550"/>
      <c r="C820" s="2550"/>
      <c r="D820" s="2550"/>
      <c r="E820" s="2550"/>
      <c r="F820" s="2550"/>
      <c r="G820" s="2550"/>
      <c r="H820" s="2550"/>
      <c r="I820" s="2550"/>
      <c r="J820" s="2550"/>
      <c r="K820" s="2550"/>
      <c r="L820" s="2550"/>
      <c r="M820" s="2550"/>
      <c r="N820" s="2550"/>
      <c r="O820" s="2550"/>
      <c r="P820" s="2550"/>
      <c r="Q820" s="2550"/>
      <c r="R820" s="2550"/>
      <c r="S820" s="2551"/>
      <c r="T820" s="2581"/>
      <c r="U820" s="2581"/>
      <c r="V820" s="2581"/>
      <c r="W820" s="2581"/>
      <c r="X820" s="2581"/>
      <c r="Y820" s="2581"/>
      <c r="Z820" s="2470" t="s">
        <v>1582</v>
      </c>
      <c r="AA820" s="2470"/>
      <c r="AB820" s="2470"/>
      <c r="AC820" s="2470"/>
      <c r="AD820" s="2470"/>
      <c r="AE820" s="2470"/>
      <c r="AF820" s="2582">
        <f>IF(T820&gt;0,T820,0)</f>
        <v>0</v>
      </c>
      <c r="AG820" s="2583"/>
      <c r="AH820" s="2583"/>
      <c r="AI820" s="2583"/>
      <c r="AJ820" s="2583"/>
      <c r="AK820" s="2584"/>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75">
      <c r="A821" s="2585" t="s">
        <v>1583</v>
      </c>
      <c r="B821" s="2586"/>
      <c r="C821" s="2586"/>
      <c r="D821" s="2586"/>
      <c r="E821" s="2586"/>
      <c r="F821" s="2586"/>
      <c r="G821" s="2586"/>
      <c r="H821" s="2586"/>
      <c r="I821" s="2586"/>
      <c r="J821" s="2586"/>
      <c r="K821" s="2586"/>
      <c r="L821" s="2586"/>
      <c r="M821" s="2586"/>
      <c r="N821" s="2586"/>
      <c r="O821" s="2586"/>
      <c r="P821" s="2586"/>
      <c r="Q821" s="2586"/>
      <c r="R821" s="2586"/>
      <c r="S821" s="2586"/>
      <c r="T821" s="2586"/>
      <c r="U821" s="2586"/>
      <c r="V821" s="2586"/>
      <c r="W821" s="2586"/>
      <c r="X821" s="2586"/>
      <c r="Y821" s="2586"/>
      <c r="Z821" s="2586"/>
      <c r="AA821" s="2586"/>
      <c r="AB821" s="2586"/>
      <c r="AC821" s="2586"/>
      <c r="AD821" s="2586"/>
      <c r="AE821" s="2587"/>
      <c r="AF821" s="2591">
        <f ca="1">SUM(AF804:AK819)-AF820</f>
        <v>119</v>
      </c>
      <c r="AG821" s="2592"/>
      <c r="AH821" s="2592"/>
      <c r="AI821" s="2592"/>
      <c r="AJ821" s="2592"/>
      <c r="AK821" s="2593"/>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75">
      <c r="A822" s="2588"/>
      <c r="B822" s="2589"/>
      <c r="C822" s="2589"/>
      <c r="D822" s="2589"/>
      <c r="E822" s="2589"/>
      <c r="F822" s="2589"/>
      <c r="G822" s="2589"/>
      <c r="H822" s="2589"/>
      <c r="I822" s="2589"/>
      <c r="J822" s="2589"/>
      <c r="K822" s="2589"/>
      <c r="L822" s="2589"/>
      <c r="M822" s="2589"/>
      <c r="N822" s="2589"/>
      <c r="O822" s="2589"/>
      <c r="P822" s="2589"/>
      <c r="Q822" s="2589"/>
      <c r="R822" s="2589"/>
      <c r="S822" s="2589"/>
      <c r="T822" s="2589"/>
      <c r="U822" s="2589"/>
      <c r="V822" s="2589"/>
      <c r="W822" s="2589"/>
      <c r="X822" s="2589"/>
      <c r="Y822" s="2589"/>
      <c r="Z822" s="2589"/>
      <c r="AA822" s="2589"/>
      <c r="AB822" s="2589"/>
      <c r="AC822" s="2589"/>
      <c r="AD822" s="2589"/>
      <c r="AE822" s="2590"/>
      <c r="AF822" s="2594"/>
      <c r="AG822" s="2595"/>
      <c r="AH822" s="2595"/>
      <c r="AI822" s="2595"/>
      <c r="AJ822" s="2595"/>
      <c r="AK822" s="2596"/>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B814:S814"/>
    <mergeCell ref="T814:Y814"/>
    <mergeCell ref="Z814:AE814"/>
    <mergeCell ref="AF814:AK814"/>
    <mergeCell ref="B815:S815"/>
    <mergeCell ref="T815:Y815"/>
    <mergeCell ref="Z815:AE815"/>
    <mergeCell ref="AF815:AK815"/>
    <mergeCell ref="T816:Y816"/>
    <mergeCell ref="Z816:AE816"/>
    <mergeCell ref="AF816:AK816"/>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C515:D515"/>
    <mergeCell ref="C519:D519"/>
    <mergeCell ref="G519:AF520"/>
    <mergeCell ref="C523:D523"/>
    <mergeCell ref="F524:AF525"/>
    <mergeCell ref="C466:D466"/>
    <mergeCell ref="AF466:AL466"/>
    <mergeCell ref="C501:D501"/>
    <mergeCell ref="F501:AE502"/>
    <mergeCell ref="AF453:AL453"/>
    <mergeCell ref="C423:D423"/>
    <mergeCell ref="AF423:AL423"/>
    <mergeCell ref="F427:AE429"/>
    <mergeCell ref="C430:D430"/>
    <mergeCell ref="AF430:AL430"/>
    <mergeCell ref="F433:AE441"/>
    <mergeCell ref="C478:D478"/>
    <mergeCell ref="F478:AE479"/>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F785:AL785"/>
    <mergeCell ref="H790:I790"/>
    <mergeCell ref="AJ792:AK792"/>
    <mergeCell ref="H763:I763"/>
    <mergeCell ref="AJ765:AK765"/>
    <mergeCell ref="E769:AD772"/>
    <mergeCell ref="AF769:AL769"/>
    <mergeCell ref="E774:AD777"/>
    <mergeCell ref="AF774:AL774"/>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F299:AD300"/>
    <mergeCell ref="A302:B302"/>
    <mergeCell ref="C302:D302"/>
    <mergeCell ref="AK285:AM285"/>
    <mergeCell ref="A292:B292"/>
    <mergeCell ref="C292:D292"/>
    <mergeCell ref="F292:AD294"/>
    <mergeCell ref="F295:AD296"/>
    <mergeCell ref="F297:AD298"/>
    <mergeCell ref="AG292:AK292"/>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Couzens, Michael</cp:lastModifiedBy>
  <cp:lastPrinted>2024-12-09T20:28:29Z</cp:lastPrinted>
  <dcterms:created xsi:type="dcterms:W3CDTF">2007-12-27T18:26:28Z</dcterms:created>
  <dcterms:modified xsi:type="dcterms:W3CDTF">2025-06-05T17:21:58Z</dcterms:modified>
</cp:coreProperties>
</file>